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" yWindow="6156" windowWidth="23256" windowHeight="6216" tabRatio="796"/>
  </bookViews>
  <sheets>
    <sheet name="Hoja1" sheetId="30" r:id="rId1"/>
    <sheet name="c-1" sheetId="1" r:id="rId2"/>
    <sheet name="c-2" sheetId="2" r:id="rId3"/>
    <sheet name="c-3" sheetId="3" r:id="rId4"/>
    <sheet name="c-4" sheetId="27" r:id="rId5"/>
    <sheet name="c-5" sheetId="28" r:id="rId6"/>
    <sheet name="c-6" sheetId="29" r:id="rId7"/>
    <sheet name="c-7" sheetId="7" r:id="rId8"/>
    <sheet name="c-8" sheetId="8" r:id="rId9"/>
    <sheet name="c-9" sheetId="9" r:id="rId10"/>
    <sheet name="c-10" sheetId="10" r:id="rId11"/>
    <sheet name="c-11" sheetId="11" r:id="rId12"/>
    <sheet name="c-12" sheetId="12" r:id="rId13"/>
    <sheet name="c-13" sheetId="13" r:id="rId14"/>
    <sheet name="c-14" sheetId="14" r:id="rId15"/>
    <sheet name="c-15" sheetId="15" r:id="rId16"/>
    <sheet name="c-16" sheetId="16" r:id="rId17"/>
    <sheet name="c-17" sheetId="17" r:id="rId18"/>
    <sheet name="c-18" sheetId="18" r:id="rId19"/>
    <sheet name="c-19" sheetId="19" r:id="rId20"/>
    <sheet name="c-20" sheetId="20" r:id="rId21"/>
    <sheet name="c-21" sheetId="21" r:id="rId22"/>
    <sheet name="c-22" sheetId="22" r:id="rId23"/>
    <sheet name="c-23" sheetId="23" r:id="rId24"/>
    <sheet name="c-24" sheetId="24" r:id="rId25"/>
    <sheet name="c-25" sheetId="25" r:id="rId26"/>
    <sheet name="c-26" sheetId="26" r:id="rId27"/>
  </sheets>
  <externalReferences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xlnm._FilterDatabase" localSheetId="10" hidden="1">'c-10'!$A$99:$G$106</definedName>
    <definedName name="_xlnm._FilterDatabase" localSheetId="15" hidden="1">'c-15'!$A$3:$M$7</definedName>
    <definedName name="_xlnm._FilterDatabase" localSheetId="24" hidden="1">'c-24'!$A$98:$G$101</definedName>
    <definedName name="_xlnm._FilterDatabase" localSheetId="7" hidden="1">'c-7'!$A$9:$P$480</definedName>
    <definedName name="_xlnm._FilterDatabase" localSheetId="8" hidden="1">'c-8'!$A$9:$P$478</definedName>
    <definedName name="_xlnm._FilterDatabase" localSheetId="9" hidden="1">'c-9'!$A$9:$P$478</definedName>
    <definedName name="_xlnm.Print_Area" localSheetId="1">'c-1'!$A$1:$M$30</definedName>
    <definedName name="_xlnm.Print_Area" localSheetId="10">'c-10'!$A$1:$L$149</definedName>
    <definedName name="_xlnm.Print_Area" localSheetId="11">'c-11'!$A$1:$L$58</definedName>
    <definedName name="_xlnm.Print_Area" localSheetId="12">'c-12'!$A$1:$M$51</definedName>
    <definedName name="_xlnm.Print_Area" localSheetId="13">'c-13'!$A$1:$M$18</definedName>
    <definedName name="_xlnm.Print_Area" localSheetId="14">'c-14'!$A$1:$M$71</definedName>
    <definedName name="_xlnm.Print_Area" localSheetId="15">'c-15'!$A$1:$M$119</definedName>
    <definedName name="_xlnm.Print_Area" localSheetId="16">'c-16'!$A$1:$K$117</definedName>
    <definedName name="_xlnm.Print_Area" localSheetId="17">'c-17'!$A$1:$K$146</definedName>
    <definedName name="_xlnm.Print_Area" localSheetId="18">'c-18'!$A$1:$K$110</definedName>
    <definedName name="_xlnm.Print_Area" localSheetId="19">'c-19'!$A$1:$K$80</definedName>
    <definedName name="_xlnm.Print_Area" localSheetId="2">'c-2'!$A$1:$Q$31</definedName>
    <definedName name="_xlnm.Print_Area" localSheetId="20">'c-20'!$A$1:$K$81</definedName>
    <definedName name="_xlnm.Print_Area" localSheetId="21">'c-21'!$A$1:$K$69</definedName>
    <definedName name="_xlnm.Print_Area" localSheetId="22">'c-22'!$A$1:$K$62</definedName>
    <definedName name="_xlnm.Print_Area" localSheetId="23">'c-23'!$A$1:$K$118</definedName>
    <definedName name="_xlnm.Print_Area" localSheetId="24">'c-24'!$A$1:$K$102</definedName>
    <definedName name="_xlnm.Print_Area" localSheetId="25">'c-25'!$A$1:$B$22</definedName>
    <definedName name="_xlnm.Print_Area" localSheetId="26">'c-26'!$A$1:$B$24</definedName>
    <definedName name="_xlnm.Print_Area" localSheetId="3">'c-3'!$A$1:$Q$31</definedName>
    <definedName name="_xlnm.Print_Area" localSheetId="4">'c-4'!$A$1:$F$47</definedName>
    <definedName name="_xlnm.Print_Area" localSheetId="5">'c-5'!$A$1:$F$51</definedName>
    <definedName name="_xlnm.Print_Area" localSheetId="6">'c-6'!$A$1:$F$48</definedName>
    <definedName name="_xlnm.Print_Area" localSheetId="7">'c-7'!#REF!</definedName>
    <definedName name="_xlnm.Print_Area" localSheetId="9">'c-9'!$A$1:$P$486</definedName>
    <definedName name="dd">#REF!</definedName>
    <definedName name="ddd" localSheetId="12">#REF!</definedName>
    <definedName name="ddd" localSheetId="13">#REF!</definedName>
    <definedName name="ddd" localSheetId="14">#REF!</definedName>
    <definedName name="ddd" localSheetId="15">#REF!</definedName>
    <definedName name="ddd" localSheetId="16">#REF!</definedName>
    <definedName name="ddd" localSheetId="17">#REF!</definedName>
    <definedName name="ddd" localSheetId="19">'c-19'!#REF!</definedName>
    <definedName name="ddd" localSheetId="23">#REF!</definedName>
    <definedName name="ddd" localSheetId="24">#REF!</definedName>
    <definedName name="ddd">#REF!</definedName>
    <definedName name="Excel_BuiltIn__FilterDatabase" localSheetId="12">'c-12'!#REF!</definedName>
    <definedName name="Excel_BuiltIn__FilterDatabase" localSheetId="13">'c-13'!#REF!</definedName>
    <definedName name="Excel_BuiltIn__FilterDatabase" localSheetId="14">'c-14'!#REF!</definedName>
    <definedName name="Excel_BuiltIn__FilterDatabase" localSheetId="7">'c-7'!#REF!</definedName>
    <definedName name="Excel_BuiltIn__FilterDatabase" localSheetId="8">'c-8'!$A$9:$P$478</definedName>
    <definedName name="Excel_BuiltIn__FilterDatabase" localSheetId="9">'c-9'!$A$9:$P$478</definedName>
    <definedName name="Excel_BuiltIn__FilterDatabase_1" localSheetId="12">#REF!</definedName>
    <definedName name="Excel_BuiltIn__FilterDatabase_1" localSheetId="13">#REF!</definedName>
    <definedName name="Excel_BuiltIn__FilterDatabase_1" localSheetId="14">#REF!</definedName>
    <definedName name="Excel_BuiltIn__FilterDatabase_1" localSheetId="15">'[1]jdos PJ c-1'!#REF!</definedName>
    <definedName name="Excel_BuiltIn__FilterDatabase_1" localSheetId="16">#REF!</definedName>
    <definedName name="Excel_BuiltIn__FilterDatabase_1" localSheetId="17">#REF!</definedName>
    <definedName name="Excel_BuiltIn__FilterDatabase_1" localSheetId="19">'[1]jdos PJ c-1'!#REF!</definedName>
    <definedName name="Excel_BuiltIn__FilterDatabase_1" localSheetId="21">#REF!</definedName>
    <definedName name="Excel_BuiltIn__FilterDatabase_1" localSheetId="22">'c-22'!#REF!</definedName>
    <definedName name="Excel_BuiltIn__FilterDatabase_1" localSheetId="23">#REF!</definedName>
    <definedName name="Excel_BuiltIn__FilterDatabase_1" localSheetId="24">#REF!</definedName>
    <definedName name="Excel_BuiltIn__FilterDatabase_1">#REF!</definedName>
    <definedName name="Excel_BuiltIn__FilterDatabase_2">#REF!</definedName>
    <definedName name="Excel_BuiltIn__FilterDatabase_3" localSheetId="12">#REF!</definedName>
    <definedName name="Excel_BuiltIn__FilterDatabase_3" localSheetId="13">#REF!</definedName>
    <definedName name="Excel_BuiltIn__FilterDatabase_3" localSheetId="14">#REF!</definedName>
    <definedName name="Excel_BuiltIn__FilterDatabase_3" localSheetId="15">[1]C3!#REF!</definedName>
    <definedName name="Excel_BuiltIn__FilterDatabase_3" localSheetId="16">#REF!</definedName>
    <definedName name="Excel_BuiltIn__FilterDatabase_3" localSheetId="17">#REF!</definedName>
    <definedName name="Excel_BuiltIn__FilterDatabase_3" localSheetId="18">[2]C3!#REF!</definedName>
    <definedName name="Excel_BuiltIn__FilterDatabase_3" localSheetId="19">[1]C3!#REF!</definedName>
    <definedName name="Excel_BuiltIn__FilterDatabase_3" localSheetId="21">[3]C3!#REF!</definedName>
    <definedName name="Excel_BuiltIn__FilterDatabase_3" localSheetId="22">[4]C3!#REF!</definedName>
    <definedName name="Excel_BuiltIn__FilterDatabase_3" localSheetId="23">#REF!</definedName>
    <definedName name="Excel_BuiltIn__FilterDatabase_3" localSheetId="24">#REF!</definedName>
    <definedName name="Excel_BuiltIn__FilterDatabase_3">#REF!</definedName>
    <definedName name="Excel_BuiltIn__FilterDatabase_3_1">#REF!</definedName>
    <definedName name="Excel_BuiltIn__FilterDatabase_3_7">NA()</definedName>
    <definedName name="Excel_BuiltIn__FilterDatabase_4" localSheetId="15">[5]C4!#REF!</definedName>
    <definedName name="Excel_BuiltIn__FilterDatabase_4" localSheetId="19">[5]C4!#REF!</definedName>
    <definedName name="Excel_BuiltIn__FilterDatabase_4" localSheetId="21">#REF!</definedName>
    <definedName name="Excel_BuiltIn__FilterDatabase_4" localSheetId="22">#REF!</definedName>
    <definedName name="Excel_BuiltIn__FilterDatabase_4">[2]C4!#REF!</definedName>
    <definedName name="Excel_BuiltIn__FilterDatabase_4_7">NA()</definedName>
    <definedName name="Excel_BuiltIn__FilterDatabase_5">#REF!</definedName>
    <definedName name="Excel_BuiltIn__FilterDatabase_6">#REF!</definedName>
    <definedName name="Excel_BuiltIn__FilterDatabase_8">NA()</definedName>
    <definedName name="Excel_BuiltIn_Print_Area_1" localSheetId="12">#REF!</definedName>
    <definedName name="Excel_BuiltIn_Print_Area_1" localSheetId="13">#REF!</definedName>
    <definedName name="Excel_BuiltIn_Print_Area_1" localSheetId="14">#REF!</definedName>
    <definedName name="Excel_BuiltIn_Print_Area_1" localSheetId="15">#REF!</definedName>
    <definedName name="Excel_BuiltIn_Print_Area_1" localSheetId="16">#REF!</definedName>
    <definedName name="Excel_BuiltIn_Print_Area_1" localSheetId="17">#REF!</definedName>
    <definedName name="Excel_BuiltIn_Print_Area_1" localSheetId="19">'c-19'!#REF!</definedName>
    <definedName name="Excel_BuiltIn_Print_Area_1" localSheetId="23">#REF!</definedName>
    <definedName name="Excel_BuiltIn_Print_Area_1" localSheetId="24">#REF!</definedName>
    <definedName name="Excel_BuiltIn_Print_Area_1">#REF!</definedName>
    <definedName name="Excel_BuiltIn_Print_Area_1_1">"$C_81.$#REF!$#REF!:$#REF!$#REF!"</definedName>
    <definedName name="Excel_BuiltIn_Print_Area_4">"$c_84.$#REF!$#REF!:$#REF!$#REF!"</definedName>
    <definedName name="Excel_BuiltIn_Print_Area_7">"$c_86.$#REF!$#REF!:$#REF!$#REF!"</definedName>
    <definedName name="Excel_BuiltIn_Print_Area_8">#REF!</definedName>
    <definedName name="Excel_BuiltIn_Print_Area_9">#REF!</definedName>
    <definedName name="fdsffd">#REF!</definedName>
    <definedName name="FOFO1" localSheetId="12">#REF!</definedName>
    <definedName name="FOFO1" localSheetId="13">#REF!</definedName>
    <definedName name="FOFO1" localSheetId="14">#REF!</definedName>
    <definedName name="FOFO1" localSheetId="15">#REF!</definedName>
    <definedName name="FOFO1" localSheetId="16">#REF!</definedName>
    <definedName name="FOFO1" localSheetId="17">#REF!</definedName>
    <definedName name="FOFO1" localSheetId="18">#REF!</definedName>
    <definedName name="FOFO1" localSheetId="19">#REF!</definedName>
    <definedName name="FOFO1" localSheetId="21">#REF!</definedName>
    <definedName name="FOFO1" localSheetId="22">#REF!</definedName>
    <definedName name="FOFO1" localSheetId="23">#REF!</definedName>
    <definedName name="FOFO1" localSheetId="24">#REF!</definedName>
    <definedName name="FOFO1">#REF!</definedName>
    <definedName name="FOFO1_1">#REF!</definedName>
    <definedName name="FOFO1_2" localSheetId="22">#REF!</definedName>
    <definedName name="FOFO1_2">#REF!</definedName>
    <definedName name="FOFO1_3" localSheetId="22">#REF!</definedName>
    <definedName name="FOFO1_3">#REF!</definedName>
    <definedName name="FOFO1_4" localSheetId="22">#REF!</definedName>
    <definedName name="FOFO1_4">#REF!</definedName>
    <definedName name="FOFO1_5" localSheetId="22">#REF!</definedName>
    <definedName name="FOFO1_5">#REF!</definedName>
    <definedName name="FOFO1_6">#REF!</definedName>
    <definedName name="FOFO1_7">#REF!</definedName>
    <definedName name="H">#REF!</definedName>
    <definedName name="HJ">#REF!</definedName>
    <definedName name="Listadesplegable1_6">'[6]menores sentenciados'!#REF!</definedName>
    <definedName name="Nuevo" localSheetId="12">#REF!</definedName>
    <definedName name="Nuevo" localSheetId="13">#REF!</definedName>
    <definedName name="Nuevo" localSheetId="14">#REF!</definedName>
    <definedName name="Nuevo" localSheetId="15">#REF!</definedName>
    <definedName name="Nuevo" localSheetId="16">#REF!</definedName>
    <definedName name="Nuevo" localSheetId="17">#REF!</definedName>
    <definedName name="Nuevo" localSheetId="23">#REF!</definedName>
    <definedName name="Nuevo" localSheetId="24">#REF!</definedName>
    <definedName name="Nuevo">#REF!</definedName>
    <definedName name="ss">[2]C4!#REF!</definedName>
    <definedName name="_xlnm.Print_Titles" localSheetId="10">'c-10'!$5:$7</definedName>
    <definedName name="_xlnm.Print_Titles" localSheetId="11">'c-11'!$5:$7</definedName>
    <definedName name="_xlnm.Print_Titles" localSheetId="12">'c-12'!$1:$7</definedName>
    <definedName name="_xlnm.Print_Titles" localSheetId="13">'c-13'!$1:$7</definedName>
    <definedName name="_xlnm.Print_Titles" localSheetId="14">'c-14'!$1:$6</definedName>
    <definedName name="_xlnm.Print_Titles" localSheetId="15">'c-15'!$5:$7</definedName>
    <definedName name="_xlnm.Print_Titles" localSheetId="17">'c-17'!$5:$7</definedName>
    <definedName name="_xlnm.Print_Titles" localSheetId="18">'c-18'!$5:$7</definedName>
    <definedName name="_xlnm.Print_Titles" localSheetId="22">'c-22'!$1:$7</definedName>
    <definedName name="_xlnm.Print_Titles" localSheetId="23">'c-23'!$5:$7</definedName>
    <definedName name="_xlnm.Print_Titles" localSheetId="24">'c-24'!$5:$7</definedName>
    <definedName name="xxx">'[7]c-16'!#REF!</definedName>
    <definedName name="Z_DBFC5A21_4BEE_424C_BC05_B4A8E3102722__wvu_PrintTitles" localSheetId="12">'c-12'!$1:$7</definedName>
    <definedName name="Z_DBFC5A21_4BEE_424C_BC05_B4A8E3102722__wvu_PrintTitles" localSheetId="13">'c-13'!$1:$7</definedName>
    <definedName name="Z_DBFC5A21_4BEE_424C_BC05_B4A8E3102722__wvu_PrintTitles" localSheetId="14">'c-14'!$1:$6</definedName>
  </definedNames>
  <calcPr calcId="124519"/>
</workbook>
</file>

<file path=xl/calcChain.xml><?xml version="1.0" encoding="utf-8"?>
<calcChain xmlns="http://schemas.openxmlformats.org/spreadsheetml/2006/main">
  <c r="L24" i="3"/>
  <c r="L23"/>
  <c r="L22"/>
  <c r="L21"/>
  <c r="L20"/>
  <c r="L19"/>
  <c r="L18"/>
  <c r="L17"/>
  <c r="L16"/>
  <c r="L15"/>
  <c r="L14"/>
  <c r="L13"/>
  <c r="L12"/>
  <c r="L11"/>
  <c r="L10"/>
  <c r="L24" i="2" l="1"/>
  <c r="L23"/>
  <c r="L22"/>
  <c r="L21"/>
  <c r="L20"/>
  <c r="L19"/>
  <c r="L18"/>
  <c r="L17"/>
  <c r="L16"/>
  <c r="L15"/>
  <c r="L14"/>
  <c r="L13"/>
  <c r="L12"/>
  <c r="L11"/>
  <c r="L10"/>
  <c r="L24" i="1" l="1"/>
  <c r="L23"/>
  <c r="L22"/>
  <c r="L21"/>
  <c r="L20"/>
  <c r="L19"/>
  <c r="L18"/>
  <c r="L17"/>
  <c r="L16"/>
  <c r="L15"/>
  <c r="L14"/>
  <c r="L13"/>
  <c r="L12"/>
  <c r="L11"/>
  <c r="L10"/>
  <c r="M24" i="3"/>
  <c r="M23"/>
  <c r="M22"/>
  <c r="M21"/>
  <c r="M20"/>
  <c r="M19"/>
  <c r="M18"/>
  <c r="M17"/>
  <c r="M16"/>
  <c r="M15"/>
  <c r="M14"/>
  <c r="M13"/>
  <c r="M10"/>
  <c r="M24" i="2"/>
  <c r="M23"/>
  <c r="M22"/>
  <c r="M21"/>
  <c r="M20"/>
  <c r="M19"/>
  <c r="M18"/>
  <c r="M17"/>
  <c r="M16"/>
  <c r="M15"/>
  <c r="M14"/>
  <c r="M13"/>
  <c r="M10"/>
  <c r="K12" i="22" l="1"/>
  <c r="K13"/>
  <c r="K16"/>
  <c r="K19"/>
  <c r="K20"/>
  <c r="K23"/>
  <c r="K24"/>
  <c r="K27"/>
  <c r="K28"/>
  <c r="K31"/>
  <c r="K32"/>
  <c r="K35"/>
  <c r="K36"/>
  <c r="K39"/>
  <c r="K40"/>
  <c r="K43"/>
  <c r="K44"/>
  <c r="K47"/>
  <c r="K48"/>
  <c r="K51"/>
  <c r="K52"/>
  <c r="K53"/>
  <c r="K56"/>
  <c r="K59"/>
  <c r="J12"/>
  <c r="J13"/>
  <c r="J16"/>
  <c r="J19"/>
  <c r="J20"/>
  <c r="J23"/>
  <c r="J24"/>
  <c r="J27"/>
  <c r="J28"/>
  <c r="J31"/>
  <c r="J32"/>
  <c r="J35"/>
  <c r="J36"/>
  <c r="J39"/>
  <c r="J40"/>
  <c r="J43"/>
  <c r="J44"/>
  <c r="J47"/>
  <c r="J48"/>
  <c r="J51"/>
  <c r="J52"/>
  <c r="J53"/>
  <c r="J56"/>
  <c r="J59"/>
  <c r="I59"/>
  <c r="I56"/>
  <c r="I53"/>
  <c r="I52"/>
  <c r="I51"/>
  <c r="I48"/>
  <c r="I47"/>
  <c r="I44"/>
  <c r="I43"/>
  <c r="I40"/>
  <c r="I39"/>
  <c r="I36"/>
  <c r="I35"/>
  <c r="I32"/>
  <c r="I31"/>
  <c r="I28"/>
  <c r="I27"/>
  <c r="I24"/>
  <c r="I23"/>
  <c r="I20"/>
  <c r="I19"/>
  <c r="I16"/>
  <c r="I13"/>
  <c r="I12"/>
  <c r="E58"/>
  <c r="E55"/>
  <c r="E50"/>
  <c r="E46"/>
  <c r="E42"/>
  <c r="E38"/>
  <c r="E34"/>
  <c r="E30"/>
  <c r="E26"/>
  <c r="E22"/>
  <c r="E18"/>
  <c r="E15"/>
  <c r="E11"/>
  <c r="E9" l="1"/>
  <c r="J15" i="13" l="1"/>
  <c r="M15"/>
  <c r="M13"/>
  <c r="L15"/>
  <c r="L13"/>
  <c r="K15"/>
  <c r="K13"/>
  <c r="J13"/>
  <c r="M11"/>
  <c r="L11"/>
  <c r="K11"/>
  <c r="J11"/>
  <c r="E9"/>
  <c r="F30" i="27" l="1"/>
  <c r="K47" i="21" l="1"/>
  <c r="K48"/>
  <c r="J47"/>
  <c r="J48"/>
  <c r="I48"/>
  <c r="I480" i="9" l="1"/>
  <c r="B480" s="1"/>
  <c r="I479"/>
  <c r="B479" s="1"/>
  <c r="I480" i="8"/>
  <c r="B480" s="1"/>
  <c r="I479"/>
  <c r="B479" s="1"/>
  <c r="M116" i="15" l="1"/>
  <c r="L116"/>
  <c r="K116"/>
  <c r="J116"/>
  <c r="M115"/>
  <c r="L115"/>
  <c r="K115"/>
  <c r="J115"/>
  <c r="M114"/>
  <c r="L114"/>
  <c r="K114"/>
  <c r="J114"/>
  <c r="M111"/>
  <c r="L111"/>
  <c r="K111"/>
  <c r="J111"/>
  <c r="M110"/>
  <c r="L110"/>
  <c r="K110"/>
  <c r="J110"/>
  <c r="M109"/>
  <c r="L109"/>
  <c r="K109"/>
  <c r="J109"/>
  <c r="M106"/>
  <c r="L106"/>
  <c r="K106"/>
  <c r="J106"/>
  <c r="M105"/>
  <c r="L105"/>
  <c r="K105"/>
  <c r="J105"/>
  <c r="M104"/>
  <c r="L104"/>
  <c r="K104"/>
  <c r="J104"/>
  <c r="M103"/>
  <c r="L103"/>
  <c r="K103"/>
  <c r="J103"/>
  <c r="M102"/>
  <c r="L102"/>
  <c r="K102"/>
  <c r="J102"/>
  <c r="M99"/>
  <c r="L99"/>
  <c r="K99"/>
  <c r="J99"/>
  <c r="M98"/>
  <c r="L98"/>
  <c r="K98"/>
  <c r="J98"/>
  <c r="M95"/>
  <c r="L95"/>
  <c r="K95"/>
  <c r="J95"/>
  <c r="M94"/>
  <c r="L94"/>
  <c r="K94"/>
  <c r="J94"/>
  <c r="M93"/>
  <c r="L93"/>
  <c r="K93"/>
  <c r="J93"/>
  <c r="M92"/>
  <c r="L92"/>
  <c r="K92"/>
  <c r="J92"/>
  <c r="M91"/>
  <c r="L91"/>
  <c r="K91"/>
  <c r="J91"/>
  <c r="M90"/>
  <c r="L90"/>
  <c r="K90"/>
  <c r="J90"/>
  <c r="M89"/>
  <c r="L89"/>
  <c r="K89"/>
  <c r="J89"/>
  <c r="M88"/>
  <c r="L88"/>
  <c r="K88"/>
  <c r="J88"/>
  <c r="M85"/>
  <c r="L85"/>
  <c r="K85"/>
  <c r="J85"/>
  <c r="M84"/>
  <c r="L84"/>
  <c r="K84"/>
  <c r="J84"/>
  <c r="M83"/>
  <c r="L83"/>
  <c r="K83"/>
  <c r="J83"/>
  <c r="M82"/>
  <c r="L82"/>
  <c r="K82"/>
  <c r="J82"/>
  <c r="M81"/>
  <c r="L81"/>
  <c r="K81"/>
  <c r="J81"/>
  <c r="M80"/>
  <c r="L80"/>
  <c r="K80"/>
  <c r="J80"/>
  <c r="M77"/>
  <c r="L77"/>
  <c r="K77"/>
  <c r="J77"/>
  <c r="M76"/>
  <c r="L76"/>
  <c r="K76"/>
  <c r="J76"/>
  <c r="M75"/>
  <c r="L75"/>
  <c r="K75"/>
  <c r="J75"/>
  <c r="M74"/>
  <c r="L74"/>
  <c r="K74"/>
  <c r="J74"/>
  <c r="M73"/>
  <c r="L73"/>
  <c r="K73"/>
  <c r="J73"/>
  <c r="M72"/>
  <c r="L72"/>
  <c r="K72"/>
  <c r="J72"/>
  <c r="M69"/>
  <c r="L69"/>
  <c r="K69"/>
  <c r="J69"/>
  <c r="M68"/>
  <c r="L68"/>
  <c r="K68"/>
  <c r="J68"/>
  <c r="M67"/>
  <c r="L67"/>
  <c r="K67"/>
  <c r="J67"/>
  <c r="M66"/>
  <c r="L66"/>
  <c r="K66"/>
  <c r="J66"/>
  <c r="M65"/>
  <c r="L65"/>
  <c r="K65"/>
  <c r="J65"/>
  <c r="M64"/>
  <c r="L64"/>
  <c r="K64"/>
  <c r="J64"/>
  <c r="M61"/>
  <c r="L61"/>
  <c r="K61"/>
  <c r="J61"/>
  <c r="M60"/>
  <c r="L60"/>
  <c r="K60"/>
  <c r="J60"/>
  <c r="M59"/>
  <c r="L59"/>
  <c r="K59"/>
  <c r="J59"/>
  <c r="M58"/>
  <c r="L58"/>
  <c r="K58"/>
  <c r="J58"/>
  <c r="M57"/>
  <c r="L57"/>
  <c r="K57"/>
  <c r="J57"/>
  <c r="M56"/>
  <c r="L56"/>
  <c r="K56"/>
  <c r="J56"/>
  <c r="M55"/>
  <c r="L55"/>
  <c r="K55"/>
  <c r="J55"/>
  <c r="M52"/>
  <c r="L52"/>
  <c r="K52"/>
  <c r="J52"/>
  <c r="M51"/>
  <c r="L51"/>
  <c r="K51"/>
  <c r="J51"/>
  <c r="M50"/>
  <c r="L50"/>
  <c r="K50"/>
  <c r="J50"/>
  <c r="M49"/>
  <c r="L49"/>
  <c r="K49"/>
  <c r="J49"/>
  <c r="M48"/>
  <c r="L48"/>
  <c r="K48"/>
  <c r="J48"/>
  <c r="M47"/>
  <c r="L47"/>
  <c r="K47"/>
  <c r="J47"/>
  <c r="M46"/>
  <c r="L46"/>
  <c r="K46"/>
  <c r="J46"/>
  <c r="M43"/>
  <c r="L43"/>
  <c r="K43"/>
  <c r="J43"/>
  <c r="M42"/>
  <c r="L42"/>
  <c r="K42"/>
  <c r="J42"/>
  <c r="M41"/>
  <c r="L41"/>
  <c r="K41"/>
  <c r="J41"/>
  <c r="M40"/>
  <c r="L40"/>
  <c r="K40"/>
  <c r="J40"/>
  <c r="M39"/>
  <c r="L39"/>
  <c r="K39"/>
  <c r="J39"/>
  <c r="M36"/>
  <c r="L36"/>
  <c r="K36"/>
  <c r="J36"/>
  <c r="M35"/>
  <c r="L35"/>
  <c r="K35"/>
  <c r="J35"/>
  <c r="M34"/>
  <c r="L34"/>
  <c r="K34"/>
  <c r="J34"/>
  <c r="M33"/>
  <c r="L33"/>
  <c r="K33"/>
  <c r="J33"/>
  <c r="M32"/>
  <c r="L32"/>
  <c r="K32"/>
  <c r="J32"/>
  <c r="M29"/>
  <c r="L29"/>
  <c r="K29"/>
  <c r="J29"/>
  <c r="M28"/>
  <c r="L28"/>
  <c r="K28"/>
  <c r="J28"/>
  <c r="M27"/>
  <c r="L27"/>
  <c r="K27"/>
  <c r="J27"/>
  <c r="M26"/>
  <c r="L26"/>
  <c r="K26"/>
  <c r="J26"/>
  <c r="M25"/>
  <c r="L25"/>
  <c r="K25"/>
  <c r="J25"/>
  <c r="M24"/>
  <c r="L24"/>
  <c r="K24"/>
  <c r="J24"/>
  <c r="M23"/>
  <c r="L23"/>
  <c r="K23"/>
  <c r="J23"/>
  <c r="M20"/>
  <c r="L20"/>
  <c r="K20"/>
  <c r="J20"/>
  <c r="M17"/>
  <c r="L17"/>
  <c r="K17"/>
  <c r="J17"/>
  <c r="M16"/>
  <c r="L16"/>
  <c r="K16"/>
  <c r="J16"/>
  <c r="M15"/>
  <c r="L15"/>
  <c r="K15"/>
  <c r="J15"/>
  <c r="M14"/>
  <c r="L14"/>
  <c r="K14"/>
  <c r="J14"/>
  <c r="M13"/>
  <c r="L13"/>
  <c r="K13"/>
  <c r="J13"/>
  <c r="M12"/>
  <c r="L12"/>
  <c r="K12"/>
  <c r="J12"/>
  <c r="E9"/>
  <c r="E39" i="29" l="1"/>
  <c r="E11" s="1"/>
  <c r="F13"/>
  <c r="D13"/>
  <c r="D11" s="1"/>
  <c r="C13"/>
  <c r="C11" s="1"/>
  <c r="B13"/>
  <c r="B11" s="1"/>
  <c r="F12" i="28"/>
  <c r="D12"/>
  <c r="C12"/>
  <c r="B12"/>
  <c r="E10"/>
  <c r="D10"/>
  <c r="C10"/>
  <c r="B10"/>
  <c r="F12" i="27"/>
  <c r="D12"/>
  <c r="C12"/>
  <c r="B12"/>
  <c r="E10"/>
  <c r="D10"/>
  <c r="C10"/>
  <c r="B10"/>
  <c r="D67" i="14"/>
  <c r="D64"/>
  <c r="D59"/>
  <c r="D55"/>
  <c r="D51"/>
  <c r="D47"/>
  <c r="D43"/>
  <c r="D39"/>
  <c r="D35"/>
  <c r="D31"/>
  <c r="D27"/>
  <c r="D24"/>
  <c r="D20"/>
  <c r="D17"/>
  <c r="D11"/>
  <c r="M48" i="12"/>
  <c r="L48"/>
  <c r="K48"/>
  <c r="J48"/>
  <c r="M45"/>
  <c r="L45"/>
  <c r="K45"/>
  <c r="J45"/>
  <c r="M42"/>
  <c r="L42"/>
  <c r="K42"/>
  <c r="J42"/>
  <c r="M39"/>
  <c r="L39"/>
  <c r="K39"/>
  <c r="J39"/>
  <c r="M38"/>
  <c r="L38"/>
  <c r="K38"/>
  <c r="J38"/>
  <c r="M35"/>
  <c r="L35"/>
  <c r="K35"/>
  <c r="J35"/>
  <c r="M32"/>
  <c r="L32"/>
  <c r="K32"/>
  <c r="J32"/>
  <c r="M29"/>
  <c r="L29"/>
  <c r="K29"/>
  <c r="J29"/>
  <c r="M26"/>
  <c r="L26"/>
  <c r="K26"/>
  <c r="J26"/>
  <c r="M25"/>
  <c r="L25"/>
  <c r="K25"/>
  <c r="J25"/>
  <c r="M22"/>
  <c r="L22"/>
  <c r="K22"/>
  <c r="J22"/>
  <c r="M19"/>
  <c r="L19"/>
  <c r="K19"/>
  <c r="J19"/>
  <c r="M18"/>
  <c r="L18"/>
  <c r="K18"/>
  <c r="J18"/>
  <c r="M15"/>
  <c r="L15"/>
  <c r="K15"/>
  <c r="J15"/>
  <c r="M12"/>
  <c r="L12"/>
  <c r="K12"/>
  <c r="J12"/>
  <c r="E47"/>
  <c r="E44"/>
  <c r="E41"/>
  <c r="E37"/>
  <c r="E34"/>
  <c r="E31"/>
  <c r="E28"/>
  <c r="E24"/>
  <c r="E21"/>
  <c r="E17"/>
  <c r="E14"/>
  <c r="E11"/>
  <c r="C11" i="3"/>
  <c r="C12"/>
  <c r="C13"/>
  <c r="C14"/>
  <c r="C15"/>
  <c r="C16"/>
  <c r="C17"/>
  <c r="C18"/>
  <c r="C19"/>
  <c r="C20"/>
  <c r="C21"/>
  <c r="C22"/>
  <c r="C23"/>
  <c r="C24"/>
  <c r="C10"/>
  <c r="C11" i="2"/>
  <c r="C12"/>
  <c r="C13"/>
  <c r="C14"/>
  <c r="C15"/>
  <c r="C16"/>
  <c r="C17"/>
  <c r="C18"/>
  <c r="C19"/>
  <c r="C20"/>
  <c r="C21"/>
  <c r="C22"/>
  <c r="C23"/>
  <c r="C24"/>
  <c r="C10"/>
  <c r="C11" i="1"/>
  <c r="C12"/>
  <c r="C13"/>
  <c r="C14"/>
  <c r="C15"/>
  <c r="C16"/>
  <c r="C17"/>
  <c r="C18"/>
  <c r="C19"/>
  <c r="C20"/>
  <c r="C21"/>
  <c r="C22"/>
  <c r="C23"/>
  <c r="C24"/>
  <c r="C10"/>
  <c r="P11" i="7"/>
  <c r="B11" s="1"/>
  <c r="O13"/>
  <c r="B13" s="1"/>
  <c r="I17"/>
  <c r="B17" s="1"/>
  <c r="I18"/>
  <c r="I19"/>
  <c r="B19" s="1"/>
  <c r="I20"/>
  <c r="B20" s="1"/>
  <c r="I21"/>
  <c r="B21" s="1"/>
  <c r="I22"/>
  <c r="B22" s="1"/>
  <c r="I23"/>
  <c r="B23" s="1"/>
  <c r="I24"/>
  <c r="B24" s="1"/>
  <c r="I25"/>
  <c r="B25" s="1"/>
  <c r="I26"/>
  <c r="B26" s="1"/>
  <c r="I27"/>
  <c r="B27" s="1"/>
  <c r="I28"/>
  <c r="B28" s="1"/>
  <c r="I29"/>
  <c r="B29" s="1"/>
  <c r="I30"/>
  <c r="B30" s="1"/>
  <c r="I31"/>
  <c r="B31" s="1"/>
  <c r="I32"/>
  <c r="B32" s="1"/>
  <c r="I33"/>
  <c r="B33" s="1"/>
  <c r="I34"/>
  <c r="B34" s="1"/>
  <c r="I35"/>
  <c r="B35" s="1"/>
  <c r="I36"/>
  <c r="B36" s="1"/>
  <c r="I37"/>
  <c r="B37" s="1"/>
  <c r="I38"/>
  <c r="B38" s="1"/>
  <c r="I39"/>
  <c r="B39" s="1"/>
  <c r="I40"/>
  <c r="B40" s="1"/>
  <c r="I41"/>
  <c r="B41" s="1"/>
  <c r="I42"/>
  <c r="B42" s="1"/>
  <c r="I43"/>
  <c r="B43" s="1"/>
  <c r="I44"/>
  <c r="B44" s="1"/>
  <c r="I45"/>
  <c r="B45" s="1"/>
  <c r="I46"/>
  <c r="B46" s="1"/>
  <c r="I47"/>
  <c r="B47" s="1"/>
  <c r="I48"/>
  <c r="B48" s="1"/>
  <c r="I49"/>
  <c r="B49" s="1"/>
  <c r="I50"/>
  <c r="B50" s="1"/>
  <c r="I51"/>
  <c r="B51" s="1"/>
  <c r="I52"/>
  <c r="B52" s="1"/>
  <c r="I53"/>
  <c r="B53" s="1"/>
  <c r="I54"/>
  <c r="B54" s="1"/>
  <c r="I55"/>
  <c r="B55" s="1"/>
  <c r="C61"/>
  <c r="B61" s="1"/>
  <c r="C62"/>
  <c r="C63"/>
  <c r="B63" s="1"/>
  <c r="C64"/>
  <c r="B64" s="1"/>
  <c r="C65"/>
  <c r="B65" s="1"/>
  <c r="C66"/>
  <c r="B66" s="1"/>
  <c r="C67"/>
  <c r="B67" s="1"/>
  <c r="C68"/>
  <c r="B68" s="1"/>
  <c r="C69"/>
  <c r="B69" s="1"/>
  <c r="C70"/>
  <c r="G70"/>
  <c r="G59" s="1"/>
  <c r="C71"/>
  <c r="B71" s="1"/>
  <c r="C72"/>
  <c r="B72" s="1"/>
  <c r="D76"/>
  <c r="B76" s="1"/>
  <c r="D77"/>
  <c r="D78"/>
  <c r="B78" s="1"/>
  <c r="D79"/>
  <c r="B79" s="1"/>
  <c r="E83"/>
  <c r="E84"/>
  <c r="B84" s="1"/>
  <c r="E85"/>
  <c r="B85" s="1"/>
  <c r="D89"/>
  <c r="D87" s="1"/>
  <c r="F93"/>
  <c r="F94"/>
  <c r="B94" s="1"/>
  <c r="F95"/>
  <c r="B95" s="1"/>
  <c r="B96"/>
  <c r="F96"/>
  <c r="F97"/>
  <c r="B97" s="1"/>
  <c r="F98"/>
  <c r="B98" s="1"/>
  <c r="F99"/>
  <c r="B99" s="1"/>
  <c r="F100"/>
  <c r="B100" s="1"/>
  <c r="F101"/>
  <c r="B101" s="1"/>
  <c r="F102"/>
  <c r="B102" s="1"/>
  <c r="F103"/>
  <c r="B103" s="1"/>
  <c r="F104"/>
  <c r="B104" s="1"/>
  <c r="N108"/>
  <c r="B108" s="1"/>
  <c r="N109"/>
  <c r="B109" s="1"/>
  <c r="N110"/>
  <c r="B110" s="1"/>
  <c r="N111"/>
  <c r="B111" s="1"/>
  <c r="N112"/>
  <c r="B112" s="1"/>
  <c r="N113"/>
  <c r="B113" s="1"/>
  <c r="N114"/>
  <c r="B114" s="1"/>
  <c r="N115"/>
  <c r="B115" s="1"/>
  <c r="N116"/>
  <c r="B116" s="1"/>
  <c r="N117"/>
  <c r="B117" s="1"/>
  <c r="N118"/>
  <c r="B118" s="1"/>
  <c r="N119"/>
  <c r="B119" s="1"/>
  <c r="G123"/>
  <c r="B123" s="1"/>
  <c r="G124"/>
  <c r="G125"/>
  <c r="B125" s="1"/>
  <c r="G126"/>
  <c r="B126" s="1"/>
  <c r="G127"/>
  <c r="B127" s="1"/>
  <c r="G128"/>
  <c r="B128" s="1"/>
  <c r="G129"/>
  <c r="B129" s="1"/>
  <c r="G130"/>
  <c r="B130" s="1"/>
  <c r="G131"/>
  <c r="B131" s="1"/>
  <c r="G132"/>
  <c r="B132" s="1"/>
  <c r="H143"/>
  <c r="B143" s="1"/>
  <c r="H144"/>
  <c r="B144" s="1"/>
  <c r="H145"/>
  <c r="B145" s="1"/>
  <c r="H146"/>
  <c r="B146" s="1"/>
  <c r="H147"/>
  <c r="B147" s="1"/>
  <c r="H148"/>
  <c r="B148" s="1"/>
  <c r="H149"/>
  <c r="B149" s="1"/>
  <c r="H150"/>
  <c r="B150" s="1"/>
  <c r="H151"/>
  <c r="B151" s="1"/>
  <c r="I155"/>
  <c r="B155" s="1"/>
  <c r="I156"/>
  <c r="B156" s="1"/>
  <c r="I157"/>
  <c r="B157" s="1"/>
  <c r="I158"/>
  <c r="B158" s="1"/>
  <c r="I159"/>
  <c r="B159" s="1"/>
  <c r="I160"/>
  <c r="B160" s="1"/>
  <c r="I161"/>
  <c r="B161" s="1"/>
  <c r="I162"/>
  <c r="B162" s="1"/>
  <c r="I163"/>
  <c r="B163" s="1"/>
  <c r="I164"/>
  <c r="B164" s="1"/>
  <c r="I165"/>
  <c r="B165" s="1"/>
  <c r="I166"/>
  <c r="B166" s="1"/>
  <c r="I167"/>
  <c r="B167" s="1"/>
  <c r="I168"/>
  <c r="B168" s="1"/>
  <c r="I169"/>
  <c r="B169" s="1"/>
  <c r="I170"/>
  <c r="B170" s="1"/>
  <c r="I171"/>
  <c r="B171" s="1"/>
  <c r="I172"/>
  <c r="B172" s="1"/>
  <c r="I173"/>
  <c r="B173" s="1"/>
  <c r="I174"/>
  <c r="B174" s="1"/>
  <c r="I175"/>
  <c r="B175" s="1"/>
  <c r="I176"/>
  <c r="B176" s="1"/>
  <c r="I177"/>
  <c r="B177" s="1"/>
  <c r="I178"/>
  <c r="B178" s="1"/>
  <c r="I179"/>
  <c r="B179" s="1"/>
  <c r="I180"/>
  <c r="B180" s="1"/>
  <c r="I181"/>
  <c r="B181" s="1"/>
  <c r="I182"/>
  <c r="B182" s="1"/>
  <c r="I183"/>
  <c r="B183" s="1"/>
  <c r="I184"/>
  <c r="B184" s="1"/>
  <c r="I185"/>
  <c r="B185" s="1"/>
  <c r="I186"/>
  <c r="B186" s="1"/>
  <c r="I187"/>
  <c r="B187" s="1"/>
  <c r="I188"/>
  <c r="B188" s="1"/>
  <c r="I189"/>
  <c r="B189" s="1"/>
  <c r="I190"/>
  <c r="B190" s="1"/>
  <c r="I191"/>
  <c r="B191" s="1"/>
  <c r="I192"/>
  <c r="B192" s="1"/>
  <c r="M196"/>
  <c r="M197"/>
  <c r="B197" s="1"/>
  <c r="M198"/>
  <c r="B198" s="1"/>
  <c r="M199"/>
  <c r="B199" s="1"/>
  <c r="M200"/>
  <c r="B200" s="1"/>
  <c r="M201"/>
  <c r="B201" s="1"/>
  <c r="M202"/>
  <c r="B202" s="1"/>
  <c r="M203"/>
  <c r="B203" s="1"/>
  <c r="E205"/>
  <c r="C207"/>
  <c r="F207"/>
  <c r="H207"/>
  <c r="C208"/>
  <c r="H208"/>
  <c r="C209"/>
  <c r="F209"/>
  <c r="H209"/>
  <c r="M209"/>
  <c r="N209"/>
  <c r="C210"/>
  <c r="H210"/>
  <c r="C211"/>
  <c r="H211"/>
  <c r="C212"/>
  <c r="G212"/>
  <c r="H212"/>
  <c r="C213"/>
  <c r="H213"/>
  <c r="C214"/>
  <c r="F214"/>
  <c r="G214"/>
  <c r="H214"/>
  <c r="M214"/>
  <c r="N214"/>
  <c r="C215"/>
  <c r="G215"/>
  <c r="H215"/>
  <c r="C216"/>
  <c r="F216"/>
  <c r="H216"/>
  <c r="M216"/>
  <c r="C217"/>
  <c r="H217"/>
  <c r="C218"/>
  <c r="B218" s="1"/>
  <c r="H218"/>
  <c r="C219"/>
  <c r="H219"/>
  <c r="C220"/>
  <c r="H220"/>
  <c r="C221"/>
  <c r="F221"/>
  <c r="H221"/>
  <c r="M221"/>
  <c r="N221"/>
  <c r="C222"/>
  <c r="F222"/>
  <c r="H222"/>
  <c r="M222"/>
  <c r="N222"/>
  <c r="C223"/>
  <c r="F223"/>
  <c r="H223"/>
  <c r="M223"/>
  <c r="N223"/>
  <c r="C224"/>
  <c r="H224"/>
  <c r="C225"/>
  <c r="F225"/>
  <c r="G225"/>
  <c r="H225"/>
  <c r="M225"/>
  <c r="N225"/>
  <c r="F229"/>
  <c r="M229"/>
  <c r="F230"/>
  <c r="M230"/>
  <c r="N230"/>
  <c r="F231"/>
  <c r="M231"/>
  <c r="N231"/>
  <c r="F232"/>
  <c r="M232"/>
  <c r="N232"/>
  <c r="F233"/>
  <c r="M233"/>
  <c r="N233"/>
  <c r="F234"/>
  <c r="M234"/>
  <c r="N234"/>
  <c r="F235"/>
  <c r="M235"/>
  <c r="N235"/>
  <c r="F236"/>
  <c r="M236"/>
  <c r="N236"/>
  <c r="F237"/>
  <c r="M237"/>
  <c r="N237"/>
  <c r="C241"/>
  <c r="C242"/>
  <c r="B242" s="1"/>
  <c r="C243"/>
  <c r="B243" s="1"/>
  <c r="C244"/>
  <c r="D244"/>
  <c r="C245"/>
  <c r="D245"/>
  <c r="C246"/>
  <c r="D246"/>
  <c r="C247"/>
  <c r="D247"/>
  <c r="C248"/>
  <c r="D248"/>
  <c r="H259"/>
  <c r="B259" s="1"/>
  <c r="H260"/>
  <c r="B260" s="1"/>
  <c r="H261"/>
  <c r="B261" s="1"/>
  <c r="H262"/>
  <c r="B262" s="1"/>
  <c r="H263"/>
  <c r="B263" s="1"/>
  <c r="H264"/>
  <c r="B264" s="1"/>
  <c r="H265"/>
  <c r="B265" s="1"/>
  <c r="J269"/>
  <c r="B269" s="1"/>
  <c r="J270"/>
  <c r="B270" s="1"/>
  <c r="J271"/>
  <c r="B271" s="1"/>
  <c r="J272"/>
  <c r="L272"/>
  <c r="B272" s="1"/>
  <c r="J273"/>
  <c r="B273" s="1"/>
  <c r="J274"/>
  <c r="L274"/>
  <c r="L275"/>
  <c r="B275" s="1"/>
  <c r="J276"/>
  <c r="B276" s="1"/>
  <c r="L276"/>
  <c r="J277"/>
  <c r="B277" s="1"/>
  <c r="J278"/>
  <c r="B278" s="1"/>
  <c r="J279"/>
  <c r="L279"/>
  <c r="J280"/>
  <c r="L280"/>
  <c r="J281"/>
  <c r="L281"/>
  <c r="J282"/>
  <c r="B282" s="1"/>
  <c r="J283"/>
  <c r="B283" s="1"/>
  <c r="J284"/>
  <c r="K284"/>
  <c r="K267" s="1"/>
  <c r="K288"/>
  <c r="B288" s="1"/>
  <c r="K289"/>
  <c r="B289" s="1"/>
  <c r="K290"/>
  <c r="B290" s="1"/>
  <c r="K291"/>
  <c r="B291" s="1"/>
  <c r="K292"/>
  <c r="B292" s="1"/>
  <c r="K293"/>
  <c r="B293" s="1"/>
  <c r="K294"/>
  <c r="B294" s="1"/>
  <c r="K295"/>
  <c r="B295" s="1"/>
  <c r="K296"/>
  <c r="B296" s="1"/>
  <c r="K297"/>
  <c r="B297" s="1"/>
  <c r="K298"/>
  <c r="B298" s="1"/>
  <c r="K299"/>
  <c r="B299" s="1"/>
  <c r="K300"/>
  <c r="B300" s="1"/>
  <c r="K301"/>
  <c r="B301" s="1"/>
  <c r="L305"/>
  <c r="L306"/>
  <c r="B306" s="1"/>
  <c r="L307"/>
  <c r="B307" s="1"/>
  <c r="L308"/>
  <c r="B308" s="1"/>
  <c r="L309"/>
  <c r="B309" s="1"/>
  <c r="L310"/>
  <c r="B310" s="1"/>
  <c r="L311"/>
  <c r="B311" s="1"/>
  <c r="L312"/>
  <c r="B312" s="1"/>
  <c r="L313"/>
  <c r="B313" s="1"/>
  <c r="L317"/>
  <c r="N317"/>
  <c r="L318"/>
  <c r="N318"/>
  <c r="L319"/>
  <c r="N319"/>
  <c r="L320"/>
  <c r="N320"/>
  <c r="L321"/>
  <c r="N321"/>
  <c r="L322"/>
  <c r="N322"/>
  <c r="C326"/>
  <c r="H326"/>
  <c r="C327"/>
  <c r="D327"/>
  <c r="H327"/>
  <c r="C328"/>
  <c r="D328"/>
  <c r="H328"/>
  <c r="C329"/>
  <c r="D329"/>
  <c r="H329"/>
  <c r="C330"/>
  <c r="D330"/>
  <c r="H330"/>
  <c r="C334"/>
  <c r="H334"/>
  <c r="J334"/>
  <c r="L334"/>
  <c r="C335"/>
  <c r="H335"/>
  <c r="J335"/>
  <c r="L335"/>
  <c r="C336"/>
  <c r="H336"/>
  <c r="J336"/>
  <c r="L336"/>
  <c r="C337"/>
  <c r="H337"/>
  <c r="J337"/>
  <c r="L337"/>
  <c r="N337"/>
  <c r="C338"/>
  <c r="H338"/>
  <c r="J338"/>
  <c r="K338"/>
  <c r="L338"/>
  <c r="N338"/>
  <c r="C339"/>
  <c r="H339"/>
  <c r="J339"/>
  <c r="C340"/>
  <c r="H340"/>
  <c r="J340"/>
  <c r="C341"/>
  <c r="H341"/>
  <c r="J341"/>
  <c r="K341"/>
  <c r="L341"/>
  <c r="N341"/>
  <c r="C342"/>
  <c r="H342"/>
  <c r="J342"/>
  <c r="K342"/>
  <c r="L342"/>
  <c r="N342"/>
  <c r="C343"/>
  <c r="H343"/>
  <c r="J343"/>
  <c r="K343"/>
  <c r="L343"/>
  <c r="C344"/>
  <c r="H344"/>
  <c r="J344"/>
  <c r="K344"/>
  <c r="L344"/>
  <c r="N344"/>
  <c r="C345"/>
  <c r="H345"/>
  <c r="J345"/>
  <c r="K345"/>
  <c r="L345"/>
  <c r="N345"/>
  <c r="C346"/>
  <c r="D346"/>
  <c r="H346"/>
  <c r="J346"/>
  <c r="L346"/>
  <c r="C347"/>
  <c r="H347"/>
  <c r="J347"/>
  <c r="K347"/>
  <c r="L347"/>
  <c r="N347"/>
  <c r="C348"/>
  <c r="H348"/>
  <c r="J348"/>
  <c r="K348"/>
  <c r="L348"/>
  <c r="N348"/>
  <c r="C349"/>
  <c r="H349"/>
  <c r="J349"/>
  <c r="L349"/>
  <c r="N349"/>
  <c r="C350"/>
  <c r="H350"/>
  <c r="J350"/>
  <c r="L350"/>
  <c r="N350"/>
  <c r="C359"/>
  <c r="H359"/>
  <c r="J359"/>
  <c r="L359"/>
  <c r="N359"/>
  <c r="C360"/>
  <c r="H360"/>
  <c r="J360"/>
  <c r="K360"/>
  <c r="L360"/>
  <c r="N360"/>
  <c r="C361"/>
  <c r="H361"/>
  <c r="J361"/>
  <c r="K361"/>
  <c r="L361"/>
  <c r="N361"/>
  <c r="C362"/>
  <c r="H362"/>
  <c r="J362"/>
  <c r="L362"/>
  <c r="N362"/>
  <c r="C363"/>
  <c r="H363"/>
  <c r="J363"/>
  <c r="K363"/>
  <c r="L363"/>
  <c r="N363"/>
  <c r="C364"/>
  <c r="H364"/>
  <c r="J364"/>
  <c r="K364"/>
  <c r="L364"/>
  <c r="N364"/>
  <c r="C365"/>
  <c r="H365"/>
  <c r="J365"/>
  <c r="K365"/>
  <c r="L365"/>
  <c r="N365"/>
  <c r="C366"/>
  <c r="H366"/>
  <c r="J366"/>
  <c r="K366"/>
  <c r="L366"/>
  <c r="N366"/>
  <c r="C367"/>
  <c r="H367"/>
  <c r="J367"/>
  <c r="C368"/>
  <c r="H368"/>
  <c r="J368"/>
  <c r="L368"/>
  <c r="N368"/>
  <c r="C369"/>
  <c r="H369"/>
  <c r="J369"/>
  <c r="K369"/>
  <c r="L369"/>
  <c r="N369"/>
  <c r="C370"/>
  <c r="H370"/>
  <c r="J370"/>
  <c r="K370"/>
  <c r="L370"/>
  <c r="C371"/>
  <c r="H371"/>
  <c r="J371"/>
  <c r="K371"/>
  <c r="L371"/>
  <c r="N371"/>
  <c r="C372"/>
  <c r="H372"/>
  <c r="J372"/>
  <c r="K372"/>
  <c r="L372"/>
  <c r="N372"/>
  <c r="C373"/>
  <c r="J373"/>
  <c r="K373"/>
  <c r="L373"/>
  <c r="N373"/>
  <c r="C374"/>
  <c r="H374"/>
  <c r="J374"/>
  <c r="K374"/>
  <c r="L374"/>
  <c r="N374"/>
  <c r="C375"/>
  <c r="H375"/>
  <c r="J375"/>
  <c r="C376"/>
  <c r="H376"/>
  <c r="J376"/>
  <c r="K376"/>
  <c r="C377"/>
  <c r="H377"/>
  <c r="J377"/>
  <c r="K377"/>
  <c r="L377"/>
  <c r="N377"/>
  <c r="C378"/>
  <c r="H378"/>
  <c r="J378"/>
  <c r="K378"/>
  <c r="L378"/>
  <c r="N378"/>
  <c r="C379"/>
  <c r="H379"/>
  <c r="J379"/>
  <c r="K379"/>
  <c r="L379"/>
  <c r="C380"/>
  <c r="H380"/>
  <c r="J380"/>
  <c r="K380"/>
  <c r="L380"/>
  <c r="N380"/>
  <c r="C381"/>
  <c r="H381"/>
  <c r="J381"/>
  <c r="K381"/>
  <c r="L381"/>
  <c r="N381"/>
  <c r="C382"/>
  <c r="H382"/>
  <c r="J382"/>
  <c r="K382"/>
  <c r="L382"/>
  <c r="N382"/>
  <c r="C383"/>
  <c r="H383"/>
  <c r="J383"/>
  <c r="K383"/>
  <c r="L383"/>
  <c r="N383"/>
  <c r="C384"/>
  <c r="H384"/>
  <c r="J384"/>
  <c r="K384"/>
  <c r="L384"/>
  <c r="N384"/>
  <c r="C385"/>
  <c r="J385"/>
  <c r="L385"/>
  <c r="N385"/>
  <c r="C386"/>
  <c r="J386"/>
  <c r="L386"/>
  <c r="N386"/>
  <c r="C387"/>
  <c r="H387"/>
  <c r="J387"/>
  <c r="K387"/>
  <c r="L387"/>
  <c r="N387"/>
  <c r="C388"/>
  <c r="H388"/>
  <c r="J388"/>
  <c r="K388"/>
  <c r="L388"/>
  <c r="N388"/>
  <c r="C389"/>
  <c r="H389"/>
  <c r="J389"/>
  <c r="K389"/>
  <c r="L389"/>
  <c r="N389"/>
  <c r="C390"/>
  <c r="H390"/>
  <c r="J390"/>
  <c r="K390"/>
  <c r="L390"/>
  <c r="N390"/>
  <c r="C391"/>
  <c r="H391"/>
  <c r="J391"/>
  <c r="K391"/>
  <c r="L391"/>
  <c r="C392"/>
  <c r="H392"/>
  <c r="J392"/>
  <c r="K392"/>
  <c r="L392"/>
  <c r="N392"/>
  <c r="C393"/>
  <c r="D393"/>
  <c r="H393"/>
  <c r="J393"/>
  <c r="K393"/>
  <c r="L393"/>
  <c r="C394"/>
  <c r="H394"/>
  <c r="J394"/>
  <c r="K394"/>
  <c r="L394"/>
  <c r="C395"/>
  <c r="H395"/>
  <c r="J395"/>
  <c r="K395"/>
  <c r="L395"/>
  <c r="C396"/>
  <c r="H396"/>
  <c r="J396"/>
  <c r="K396"/>
  <c r="L396"/>
  <c r="C397"/>
  <c r="H397"/>
  <c r="J397"/>
  <c r="K397"/>
  <c r="L397"/>
  <c r="N397"/>
  <c r="C398"/>
  <c r="H398"/>
  <c r="J398"/>
  <c r="K398"/>
  <c r="L398"/>
  <c r="N398"/>
  <c r="C399"/>
  <c r="H399"/>
  <c r="J399"/>
  <c r="K399"/>
  <c r="L399"/>
  <c r="N399"/>
  <c r="C400"/>
  <c r="H400"/>
  <c r="J400"/>
  <c r="L400"/>
  <c r="N400"/>
  <c r="C401"/>
  <c r="H401"/>
  <c r="J401"/>
  <c r="L401"/>
  <c r="N401"/>
  <c r="C402"/>
  <c r="H402"/>
  <c r="J402"/>
  <c r="E404"/>
  <c r="F404"/>
  <c r="G404"/>
  <c r="I404"/>
  <c r="J404"/>
  <c r="L404"/>
  <c r="M404"/>
  <c r="N404"/>
  <c r="O404"/>
  <c r="P404"/>
  <c r="C406"/>
  <c r="D406"/>
  <c r="H406"/>
  <c r="K406"/>
  <c r="C407"/>
  <c r="H407"/>
  <c r="K407"/>
  <c r="D408"/>
  <c r="K408"/>
  <c r="I412"/>
  <c r="B412" s="1"/>
  <c r="I413"/>
  <c r="B413" s="1"/>
  <c r="I414"/>
  <c r="B414" s="1"/>
  <c r="I415"/>
  <c r="B415" s="1"/>
  <c r="B416"/>
  <c r="I416"/>
  <c r="I417"/>
  <c r="B417" s="1"/>
  <c r="I418"/>
  <c r="B418" s="1"/>
  <c r="I419"/>
  <c r="B419" s="1"/>
  <c r="I420"/>
  <c r="B420" s="1"/>
  <c r="I421"/>
  <c r="B421" s="1"/>
  <c r="I422"/>
  <c r="B422" s="1"/>
  <c r="I423"/>
  <c r="M423"/>
  <c r="I424"/>
  <c r="I425"/>
  <c r="B425" s="1"/>
  <c r="I426"/>
  <c r="B426" s="1"/>
  <c r="I427"/>
  <c r="B427" s="1"/>
  <c r="I428"/>
  <c r="B428" s="1"/>
  <c r="I429"/>
  <c r="B429" s="1"/>
  <c r="M430"/>
  <c r="B430" s="1"/>
  <c r="I431"/>
  <c r="B431" s="1"/>
  <c r="M431"/>
  <c r="I432"/>
  <c r="B432" s="1"/>
  <c r="I433"/>
  <c r="B433" s="1"/>
  <c r="I434"/>
  <c r="B434" s="1"/>
  <c r="M434"/>
  <c r="I435"/>
  <c r="B435" s="1"/>
  <c r="I436"/>
  <c r="B436" s="1"/>
  <c r="I437"/>
  <c r="M437"/>
  <c r="I438"/>
  <c r="M438"/>
  <c r="I439"/>
  <c r="B439" s="1"/>
  <c r="I440"/>
  <c r="M440"/>
  <c r="I441"/>
  <c r="B441" s="1"/>
  <c r="I442"/>
  <c r="M442"/>
  <c r="I443"/>
  <c r="B443" s="1"/>
  <c r="I444"/>
  <c r="B444" s="1"/>
  <c r="M444"/>
  <c r="I445"/>
  <c r="M445"/>
  <c r="I446"/>
  <c r="B446" s="1"/>
  <c r="M446"/>
  <c r="I447"/>
  <c r="B447" s="1"/>
  <c r="B448"/>
  <c r="I448"/>
  <c r="I449"/>
  <c r="B449" s="1"/>
  <c r="I450"/>
  <c r="M450"/>
  <c r="I451"/>
  <c r="B451" s="1"/>
  <c r="M451"/>
  <c r="I452"/>
  <c r="B452" s="1"/>
  <c r="I453"/>
  <c r="B453" s="1"/>
  <c r="I454"/>
  <c r="M454"/>
  <c r="I455"/>
  <c r="B455" s="1"/>
  <c r="I456"/>
  <c r="B456" s="1"/>
  <c r="M456"/>
  <c r="I457"/>
  <c r="B457" s="1"/>
  <c r="I458"/>
  <c r="M458"/>
  <c r="B458" s="1"/>
  <c r="I459"/>
  <c r="M459"/>
  <c r="I460"/>
  <c r="M460"/>
  <c r="I461"/>
  <c r="B461" s="1"/>
  <c r="I462"/>
  <c r="B462" s="1"/>
  <c r="M462"/>
  <c r="I463"/>
  <c r="B463" s="1"/>
  <c r="I464"/>
  <c r="M464"/>
  <c r="I465"/>
  <c r="M465"/>
  <c r="I466"/>
  <c r="M466"/>
  <c r="I467"/>
  <c r="M467"/>
  <c r="I468"/>
  <c r="M468"/>
  <c r="I469"/>
  <c r="B469" s="1"/>
  <c r="I470"/>
  <c r="M470"/>
  <c r="I471"/>
  <c r="M471"/>
  <c r="I472"/>
  <c r="B472" s="1"/>
  <c r="I473"/>
  <c r="M473"/>
  <c r="I474"/>
  <c r="M474"/>
  <c r="I475"/>
  <c r="B475" s="1"/>
  <c r="M475"/>
  <c r="I476"/>
  <c r="B476" s="1"/>
  <c r="I477"/>
  <c r="M477"/>
  <c r="I478"/>
  <c r="M478"/>
  <c r="I479"/>
  <c r="B479" s="1"/>
  <c r="I480"/>
  <c r="B480" s="1"/>
  <c r="B247" l="1"/>
  <c r="B474"/>
  <c r="B467"/>
  <c r="B442"/>
  <c r="B478"/>
  <c r="B471"/>
  <c r="B401"/>
  <c r="B385"/>
  <c r="B367"/>
  <c r="B328"/>
  <c r="B324" s="1"/>
  <c r="B244"/>
  <c r="B454"/>
  <c r="B477"/>
  <c r="B466"/>
  <c r="B464"/>
  <c r="B460"/>
  <c r="B450"/>
  <c r="B468"/>
  <c r="B459"/>
  <c r="B440"/>
  <c r="D404"/>
  <c r="D324"/>
  <c r="B232"/>
  <c r="N227"/>
  <c r="E9" i="12"/>
  <c r="D9" i="14"/>
  <c r="B473" i="7"/>
  <c r="B445"/>
  <c r="B423"/>
  <c r="B321"/>
  <c r="B317"/>
  <c r="B465"/>
  <c r="B339"/>
  <c r="B234"/>
  <c r="B230"/>
  <c r="B408"/>
  <c r="B327"/>
  <c r="B322"/>
  <c r="B280"/>
  <c r="B245"/>
  <c r="B220"/>
  <c r="B377"/>
  <c r="B373"/>
  <c r="B345"/>
  <c r="B213"/>
  <c r="B361"/>
  <c r="B337"/>
  <c r="B326"/>
  <c r="B319"/>
  <c r="E81"/>
  <c r="B237"/>
  <c r="B236"/>
  <c r="B235"/>
  <c r="B233"/>
  <c r="B231"/>
  <c r="I410"/>
  <c r="B402"/>
  <c r="B400"/>
  <c r="B394"/>
  <c r="B376"/>
  <c r="B372"/>
  <c r="B350"/>
  <c r="K332"/>
  <c r="C332"/>
  <c r="B281"/>
  <c r="B279"/>
  <c r="N205"/>
  <c r="B216"/>
  <c r="B470"/>
  <c r="B438"/>
  <c r="C404"/>
  <c r="B395"/>
  <c r="B379"/>
  <c r="B335"/>
  <c r="B330"/>
  <c r="N315"/>
  <c r="D239"/>
  <c r="M227"/>
  <c r="B222"/>
  <c r="F205"/>
  <c r="N106"/>
  <c r="B437"/>
  <c r="K404"/>
  <c r="B407"/>
  <c r="B398"/>
  <c r="B390"/>
  <c r="B386"/>
  <c r="B382"/>
  <c r="B374"/>
  <c r="B370"/>
  <c r="B368"/>
  <c r="B366"/>
  <c r="B346"/>
  <c r="B342"/>
  <c r="N332"/>
  <c r="B338"/>
  <c r="J332"/>
  <c r="B329"/>
  <c r="C324"/>
  <c r="B320"/>
  <c r="L315"/>
  <c r="L303"/>
  <c r="B248"/>
  <c r="B246"/>
  <c r="C239"/>
  <c r="B212"/>
  <c r="B210"/>
  <c r="B208"/>
  <c r="M194"/>
  <c r="D74"/>
  <c r="M410"/>
  <c r="B399"/>
  <c r="B393"/>
  <c r="B391"/>
  <c r="B389"/>
  <c r="B387"/>
  <c r="B381"/>
  <c r="B369"/>
  <c r="B365"/>
  <c r="B363"/>
  <c r="D332"/>
  <c r="L332"/>
  <c r="B274"/>
  <c r="J267"/>
  <c r="M205"/>
  <c r="C205"/>
  <c r="C59"/>
  <c r="B224"/>
  <c r="B397"/>
  <c r="B223"/>
  <c r="B396"/>
  <c r="B392"/>
  <c r="B219"/>
  <c r="B383"/>
  <c r="H404"/>
  <c r="B388"/>
  <c r="B384"/>
  <c r="B217"/>
  <c r="B378"/>
  <c r="B380"/>
  <c r="B375"/>
  <c r="B371"/>
  <c r="B215"/>
  <c r="B359"/>
  <c r="B211"/>
  <c r="B349"/>
  <c r="B347"/>
  <c r="B364"/>
  <c r="B214"/>
  <c r="B348"/>
  <c r="B362"/>
  <c r="B360"/>
  <c r="B336"/>
  <c r="H257"/>
  <c r="B257"/>
  <c r="I15"/>
  <c r="B343"/>
  <c r="B341"/>
  <c r="H205"/>
  <c r="B344"/>
  <c r="B340"/>
  <c r="F227"/>
  <c r="B221"/>
  <c r="F91"/>
  <c r="B225"/>
  <c r="G121"/>
  <c r="B70"/>
  <c r="B141"/>
  <c r="B286"/>
  <c r="B153"/>
  <c r="B106"/>
  <c r="B424"/>
  <c r="B406"/>
  <c r="B318"/>
  <c r="B305"/>
  <c r="B303" s="1"/>
  <c r="L267"/>
  <c r="B241"/>
  <c r="B207"/>
  <c r="G205"/>
  <c r="B196"/>
  <c r="B194" s="1"/>
  <c r="B93"/>
  <c r="B91" s="1"/>
  <c r="B89"/>
  <c r="B87" s="1"/>
  <c r="B83"/>
  <c r="B81" s="1"/>
  <c r="B77"/>
  <c r="B74" s="1"/>
  <c r="B18"/>
  <c r="B15" s="1"/>
  <c r="H332"/>
  <c r="K286"/>
  <c r="B284"/>
  <c r="I153"/>
  <c r="H141"/>
  <c r="B62"/>
  <c r="B334"/>
  <c r="H324"/>
  <c r="B229"/>
  <c r="B124"/>
  <c r="B121" s="1"/>
  <c r="B209"/>
  <c r="C18" i="21"/>
  <c r="D18"/>
  <c r="E18"/>
  <c r="F18"/>
  <c r="G18"/>
  <c r="B18"/>
  <c r="C64"/>
  <c r="D64"/>
  <c r="E64"/>
  <c r="F64"/>
  <c r="G64"/>
  <c r="B64"/>
  <c r="C54"/>
  <c r="D54"/>
  <c r="E54"/>
  <c r="F54"/>
  <c r="G54"/>
  <c r="B54"/>
  <c r="C50"/>
  <c r="D50"/>
  <c r="E50"/>
  <c r="F50"/>
  <c r="G50"/>
  <c r="B50"/>
  <c r="G44"/>
  <c r="C44"/>
  <c r="D44"/>
  <c r="E44"/>
  <c r="F44"/>
  <c r="B44"/>
  <c r="I34"/>
  <c r="J34"/>
  <c r="K34"/>
  <c r="C32"/>
  <c r="D32"/>
  <c r="E32"/>
  <c r="F32"/>
  <c r="G32"/>
  <c r="B32"/>
  <c r="E36"/>
  <c r="E40"/>
  <c r="E61"/>
  <c r="E11"/>
  <c r="E15"/>
  <c r="E24"/>
  <c r="E28"/>
  <c r="I20"/>
  <c r="J20"/>
  <c r="K20"/>
  <c r="I21"/>
  <c r="J21"/>
  <c r="K21"/>
  <c r="I22"/>
  <c r="J22"/>
  <c r="K22"/>
  <c r="B15"/>
  <c r="C15"/>
  <c r="D15"/>
  <c r="F15"/>
  <c r="G15"/>
  <c r="B410" i="7" l="1"/>
  <c r="B315"/>
  <c r="B404"/>
  <c r="B267"/>
  <c r="B59"/>
  <c r="B239"/>
  <c r="B227"/>
  <c r="B332"/>
  <c r="B205"/>
  <c r="E9" i="21"/>
  <c r="K96" i="18" l="1"/>
  <c r="J96"/>
  <c r="I96"/>
  <c r="K66"/>
  <c r="J66"/>
  <c r="I66"/>
  <c r="C61"/>
  <c r="D61"/>
  <c r="E61"/>
  <c r="F61"/>
  <c r="G61"/>
  <c r="B61"/>
  <c r="I61" l="1"/>
  <c r="B10" i="2" l="1"/>
  <c r="B10" i="1"/>
  <c r="O8"/>
  <c r="F36" i="27" s="1"/>
  <c r="I8" i="1"/>
  <c r="F8"/>
  <c r="Q8"/>
  <c r="F40" i="27" s="1"/>
  <c r="J8" i="1"/>
  <c r="H8"/>
  <c r="P8"/>
  <c r="F38" i="27" s="1"/>
  <c r="N8" i="1"/>
  <c r="K8"/>
  <c r="G8"/>
  <c r="I8" i="2"/>
  <c r="O8"/>
  <c r="F36" i="28" s="1"/>
  <c r="N8" i="2"/>
  <c r="K8"/>
  <c r="H8"/>
  <c r="E8"/>
  <c r="Q8"/>
  <c r="F40" i="28" s="1"/>
  <c r="P8" i="2"/>
  <c r="F38" i="28" s="1"/>
  <c r="J8" i="2"/>
  <c r="G8"/>
  <c r="F8"/>
  <c r="M8" i="3"/>
  <c r="E9" i="7"/>
  <c r="P9"/>
  <c r="P11" i="8"/>
  <c r="O13"/>
  <c r="B13" s="1"/>
  <c r="N401"/>
  <c r="N400"/>
  <c r="N399"/>
  <c r="N398"/>
  <c r="N397"/>
  <c r="N392"/>
  <c r="N390"/>
  <c r="N389"/>
  <c r="N388"/>
  <c r="N387"/>
  <c r="N386"/>
  <c r="N385"/>
  <c r="N384"/>
  <c r="N383"/>
  <c r="N382"/>
  <c r="N381"/>
  <c r="N380"/>
  <c r="N378"/>
  <c r="N377"/>
  <c r="N374"/>
  <c r="N373"/>
  <c r="N372"/>
  <c r="N371"/>
  <c r="N369"/>
  <c r="N368"/>
  <c r="N366"/>
  <c r="B366" s="1"/>
  <c r="N365"/>
  <c r="N364"/>
  <c r="N363"/>
  <c r="N362"/>
  <c r="B362" s="1"/>
  <c r="N361"/>
  <c r="N360"/>
  <c r="N359"/>
  <c r="N350"/>
  <c r="N349"/>
  <c r="N348"/>
  <c r="N347"/>
  <c r="N345"/>
  <c r="N344"/>
  <c r="N342"/>
  <c r="N341"/>
  <c r="N338"/>
  <c r="N337"/>
  <c r="N322"/>
  <c r="N321"/>
  <c r="N320"/>
  <c r="N319"/>
  <c r="N318"/>
  <c r="N317"/>
  <c r="N237"/>
  <c r="N236"/>
  <c r="N235"/>
  <c r="N234"/>
  <c r="N233"/>
  <c r="N232"/>
  <c r="N231"/>
  <c r="N230"/>
  <c r="N225"/>
  <c r="N223"/>
  <c r="N222"/>
  <c r="N221"/>
  <c r="N214"/>
  <c r="B214" s="1"/>
  <c r="N209"/>
  <c r="N119"/>
  <c r="N118"/>
  <c r="B118" s="1"/>
  <c r="N117"/>
  <c r="B117" s="1"/>
  <c r="N116"/>
  <c r="N115"/>
  <c r="N114"/>
  <c r="B114" s="1"/>
  <c r="N113"/>
  <c r="B113" s="1"/>
  <c r="N112"/>
  <c r="N111"/>
  <c r="N110"/>
  <c r="B110" s="1"/>
  <c r="N109"/>
  <c r="N106" s="1"/>
  <c r="N108"/>
  <c r="M476"/>
  <c r="M473"/>
  <c r="M469"/>
  <c r="M467"/>
  <c r="M466"/>
  <c r="M465"/>
  <c r="M461"/>
  <c r="M459"/>
  <c r="M458"/>
  <c r="M457"/>
  <c r="M455"/>
  <c r="M451"/>
  <c r="M450"/>
  <c r="M446"/>
  <c r="M440"/>
  <c r="M438"/>
  <c r="M437"/>
  <c r="M434"/>
  <c r="M431"/>
  <c r="M430"/>
  <c r="B430" s="1"/>
  <c r="M423"/>
  <c r="M237"/>
  <c r="M236"/>
  <c r="M235"/>
  <c r="M234"/>
  <c r="M233"/>
  <c r="M232"/>
  <c r="M231"/>
  <c r="M230"/>
  <c r="M229"/>
  <c r="M225"/>
  <c r="M223"/>
  <c r="M222"/>
  <c r="M221"/>
  <c r="M216"/>
  <c r="B216" s="1"/>
  <c r="M214"/>
  <c r="M209"/>
  <c r="M203"/>
  <c r="M202"/>
  <c r="B202" s="1"/>
  <c r="M201"/>
  <c r="M200"/>
  <c r="M199"/>
  <c r="M198"/>
  <c r="B198" s="1"/>
  <c r="M197"/>
  <c r="M196"/>
  <c r="L401"/>
  <c r="L400"/>
  <c r="L399"/>
  <c r="L398"/>
  <c r="L397"/>
  <c r="L396"/>
  <c r="L395"/>
  <c r="L394"/>
  <c r="L393"/>
  <c r="L392"/>
  <c r="L391"/>
  <c r="L390"/>
  <c r="L389"/>
  <c r="L388"/>
  <c r="L387"/>
  <c r="L386"/>
  <c r="L385"/>
  <c r="L384"/>
  <c r="L383"/>
  <c r="L382"/>
  <c r="L381"/>
  <c r="L380"/>
  <c r="L379"/>
  <c r="L378"/>
  <c r="L377"/>
  <c r="L374"/>
  <c r="L373"/>
  <c r="L372"/>
  <c r="L371"/>
  <c r="L370"/>
  <c r="B370" s="1"/>
  <c r="L369"/>
  <c r="L368"/>
  <c r="L366"/>
  <c r="L365"/>
  <c r="L364"/>
  <c r="L363"/>
  <c r="L362"/>
  <c r="L361"/>
  <c r="L360"/>
  <c r="L359"/>
  <c r="L350"/>
  <c r="L349"/>
  <c r="L348"/>
  <c r="L347"/>
  <c r="L346"/>
  <c r="L345"/>
  <c r="L344"/>
  <c r="L343"/>
  <c r="L342"/>
  <c r="L341"/>
  <c r="L338"/>
  <c r="L337"/>
  <c r="L336"/>
  <c r="L335"/>
  <c r="L334"/>
  <c r="L322"/>
  <c r="L321"/>
  <c r="L320"/>
  <c r="B320" s="1"/>
  <c r="L319"/>
  <c r="L318"/>
  <c r="L317"/>
  <c r="B317" s="1"/>
  <c r="L313"/>
  <c r="B313" s="1"/>
  <c r="L312"/>
  <c r="L311"/>
  <c r="B311" s="1"/>
  <c r="L310"/>
  <c r="L309"/>
  <c r="B309" s="1"/>
  <c r="L308"/>
  <c r="L307"/>
  <c r="L306"/>
  <c r="L305"/>
  <c r="L303" s="1"/>
  <c r="L281"/>
  <c r="L280"/>
  <c r="L279"/>
  <c r="L276"/>
  <c r="B276" s="1"/>
  <c r="L275"/>
  <c r="L274"/>
  <c r="L272"/>
  <c r="K408"/>
  <c r="K407"/>
  <c r="K406"/>
  <c r="K399"/>
  <c r="K398"/>
  <c r="K397"/>
  <c r="K396"/>
  <c r="K395"/>
  <c r="K394"/>
  <c r="K393"/>
  <c r="K392"/>
  <c r="K391"/>
  <c r="K390"/>
  <c r="B390" s="1"/>
  <c r="K389"/>
  <c r="K388"/>
  <c r="K387"/>
  <c r="K384"/>
  <c r="K383"/>
  <c r="K382"/>
  <c r="K381"/>
  <c r="K380"/>
  <c r="K379"/>
  <c r="K378"/>
  <c r="K377"/>
  <c r="K376"/>
  <c r="K374"/>
  <c r="K373"/>
  <c r="K372"/>
  <c r="K371"/>
  <c r="K370"/>
  <c r="K369"/>
  <c r="K366"/>
  <c r="K365"/>
  <c r="K364"/>
  <c r="K363"/>
  <c r="K361"/>
  <c r="K360"/>
  <c r="K348"/>
  <c r="K347"/>
  <c r="K345"/>
  <c r="K344"/>
  <c r="B344" s="1"/>
  <c r="K343"/>
  <c r="K342"/>
  <c r="K341"/>
  <c r="K338"/>
  <c r="B338" s="1"/>
  <c r="K301"/>
  <c r="K300"/>
  <c r="B300" s="1"/>
  <c r="K299"/>
  <c r="K298"/>
  <c r="B298" s="1"/>
  <c r="K297"/>
  <c r="K296"/>
  <c r="B296" s="1"/>
  <c r="K295"/>
  <c r="K294"/>
  <c r="B294" s="1"/>
  <c r="K293"/>
  <c r="K292"/>
  <c r="B292" s="1"/>
  <c r="K291"/>
  <c r="K290"/>
  <c r="B290" s="1"/>
  <c r="K289"/>
  <c r="K288"/>
  <c r="K284"/>
  <c r="K284" i="9"/>
  <c r="K267" s="1"/>
  <c r="J402" i="8"/>
  <c r="J401"/>
  <c r="J400"/>
  <c r="J399"/>
  <c r="J398"/>
  <c r="J397"/>
  <c r="J396"/>
  <c r="J395"/>
  <c r="J394"/>
  <c r="J393"/>
  <c r="J392"/>
  <c r="J391"/>
  <c r="J390"/>
  <c r="J389"/>
  <c r="J388"/>
  <c r="J387"/>
  <c r="J386"/>
  <c r="J385"/>
  <c r="J384"/>
  <c r="J383"/>
  <c r="J382"/>
  <c r="J381"/>
  <c r="J380"/>
  <c r="J379"/>
  <c r="J378"/>
  <c r="J377"/>
  <c r="J376"/>
  <c r="J375"/>
  <c r="B375" s="1"/>
  <c r="J374"/>
  <c r="J373"/>
  <c r="J372"/>
  <c r="J371"/>
  <c r="J370"/>
  <c r="J369"/>
  <c r="J368"/>
  <c r="J367"/>
  <c r="J366"/>
  <c r="J365"/>
  <c r="J364"/>
  <c r="J363"/>
  <c r="J362"/>
  <c r="J361"/>
  <c r="J360"/>
  <c r="J359"/>
  <c r="B359" s="1"/>
  <c r="J350"/>
  <c r="J349"/>
  <c r="J348"/>
  <c r="J347"/>
  <c r="B347" s="1"/>
  <c r="J346"/>
  <c r="J345"/>
  <c r="J344"/>
  <c r="J343"/>
  <c r="J342"/>
  <c r="J341"/>
  <c r="J340"/>
  <c r="J339"/>
  <c r="J338"/>
  <c r="J337"/>
  <c r="J336"/>
  <c r="J335"/>
  <c r="J334"/>
  <c r="J284"/>
  <c r="J283"/>
  <c r="J282"/>
  <c r="B282" s="1"/>
  <c r="J281"/>
  <c r="J280"/>
  <c r="B280" s="1"/>
  <c r="J279"/>
  <c r="J278"/>
  <c r="B278" s="1"/>
  <c r="J277"/>
  <c r="J276"/>
  <c r="J274"/>
  <c r="J273"/>
  <c r="B273" s="1"/>
  <c r="J272"/>
  <c r="J271"/>
  <c r="J270"/>
  <c r="J269"/>
  <c r="I478"/>
  <c r="I477"/>
  <c r="B477" s="1"/>
  <c r="I476"/>
  <c r="I475"/>
  <c r="B475" s="1"/>
  <c r="I474"/>
  <c r="B474" s="1"/>
  <c r="I473"/>
  <c r="I472"/>
  <c r="B472" s="1"/>
  <c r="I471"/>
  <c r="B471" s="1"/>
  <c r="I470"/>
  <c r="B470" s="1"/>
  <c r="I469"/>
  <c r="I468"/>
  <c r="B468" s="1"/>
  <c r="I467"/>
  <c r="B467" s="1"/>
  <c r="I466"/>
  <c r="I465"/>
  <c r="I464"/>
  <c r="I463"/>
  <c r="B463" s="1"/>
  <c r="I462"/>
  <c r="B462" s="1"/>
  <c r="I461"/>
  <c r="I460"/>
  <c r="I459"/>
  <c r="I458"/>
  <c r="I457"/>
  <c r="B457" s="1"/>
  <c r="I456"/>
  <c r="B456" s="1"/>
  <c r="I455"/>
  <c r="I454"/>
  <c r="B454" s="1"/>
  <c r="I453"/>
  <c r="I452"/>
  <c r="B452" s="1"/>
  <c r="I451"/>
  <c r="B451" s="1"/>
  <c r="I450"/>
  <c r="I449"/>
  <c r="I448"/>
  <c r="I447"/>
  <c r="B447" s="1"/>
  <c r="I446"/>
  <c r="I445"/>
  <c r="I444"/>
  <c r="B444" s="1"/>
  <c r="I443"/>
  <c r="B443" s="1"/>
  <c r="I442"/>
  <c r="B442" s="1"/>
  <c r="I441"/>
  <c r="B441" s="1"/>
  <c r="I440"/>
  <c r="I439"/>
  <c r="I438"/>
  <c r="B438" s="1"/>
  <c r="I437"/>
  <c r="I436"/>
  <c r="I435"/>
  <c r="B435" s="1"/>
  <c r="I434"/>
  <c r="I433"/>
  <c r="I432"/>
  <c r="I431"/>
  <c r="I429"/>
  <c r="B429" s="1"/>
  <c r="I428"/>
  <c r="I427"/>
  <c r="B427" s="1"/>
  <c r="I426"/>
  <c r="B426" s="1"/>
  <c r="I425"/>
  <c r="I424"/>
  <c r="I423"/>
  <c r="I422"/>
  <c r="B422" s="1"/>
  <c r="I421"/>
  <c r="B421" s="1"/>
  <c r="I420"/>
  <c r="I419"/>
  <c r="B419" s="1"/>
  <c r="I418"/>
  <c r="B418" s="1"/>
  <c r="I417"/>
  <c r="I416"/>
  <c r="I415"/>
  <c r="I414"/>
  <c r="B414" s="1"/>
  <c r="I413"/>
  <c r="B413" s="1"/>
  <c r="I412"/>
  <c r="I192"/>
  <c r="I191"/>
  <c r="B191" s="1"/>
  <c r="I190"/>
  <c r="I189"/>
  <c r="B189" s="1"/>
  <c r="I188"/>
  <c r="I187"/>
  <c r="B187" s="1"/>
  <c r="I186"/>
  <c r="I185"/>
  <c r="I184"/>
  <c r="I183"/>
  <c r="B183" s="1"/>
  <c r="I182"/>
  <c r="I181"/>
  <c r="I180"/>
  <c r="B180" s="1"/>
  <c r="I179"/>
  <c r="I178"/>
  <c r="B178" s="1"/>
  <c r="I177"/>
  <c r="I176"/>
  <c r="B176" s="1"/>
  <c r="I175"/>
  <c r="B175" s="1"/>
  <c r="I174"/>
  <c r="I173"/>
  <c r="B173" s="1"/>
  <c r="I172"/>
  <c r="I171"/>
  <c r="I170"/>
  <c r="B170" s="1"/>
  <c r="I169"/>
  <c r="I168"/>
  <c r="I167"/>
  <c r="B167" s="1"/>
  <c r="I166"/>
  <c r="B166" s="1"/>
  <c r="I165"/>
  <c r="I164"/>
  <c r="B164" s="1"/>
  <c r="I163"/>
  <c r="B163" s="1"/>
  <c r="I162"/>
  <c r="B162" s="1"/>
  <c r="I161"/>
  <c r="I160"/>
  <c r="B160" s="1"/>
  <c r="I159"/>
  <c r="B159" s="1"/>
  <c r="I158"/>
  <c r="B158" s="1"/>
  <c r="I157"/>
  <c r="I156"/>
  <c r="I155"/>
  <c r="B155" s="1"/>
  <c r="I55"/>
  <c r="I54"/>
  <c r="B54" s="1"/>
  <c r="I53"/>
  <c r="I52"/>
  <c r="B52" s="1"/>
  <c r="I51"/>
  <c r="B51" s="1"/>
  <c r="I50"/>
  <c r="B50" s="1"/>
  <c r="I49"/>
  <c r="I48"/>
  <c r="B48" s="1"/>
  <c r="I47"/>
  <c r="I46"/>
  <c r="B46" s="1"/>
  <c r="I45"/>
  <c r="I44"/>
  <c r="B44" s="1"/>
  <c r="I43"/>
  <c r="B43" s="1"/>
  <c r="I42"/>
  <c r="B42" s="1"/>
  <c r="I41"/>
  <c r="I40"/>
  <c r="B40" s="1"/>
  <c r="I39"/>
  <c r="I38"/>
  <c r="B38" s="1"/>
  <c r="I37"/>
  <c r="I36"/>
  <c r="B36" s="1"/>
  <c r="I35"/>
  <c r="I34"/>
  <c r="B34" s="1"/>
  <c r="I33"/>
  <c r="I32"/>
  <c r="B32" s="1"/>
  <c r="I31"/>
  <c r="I30"/>
  <c r="B30" s="1"/>
  <c r="I29"/>
  <c r="I28"/>
  <c r="I27"/>
  <c r="B27" s="1"/>
  <c r="I26"/>
  <c r="B26" s="1"/>
  <c r="I25"/>
  <c r="I24"/>
  <c r="B24" s="1"/>
  <c r="I23"/>
  <c r="I22"/>
  <c r="B22" s="1"/>
  <c r="I21"/>
  <c r="I20"/>
  <c r="B20" s="1"/>
  <c r="I19"/>
  <c r="I18"/>
  <c r="B18" s="1"/>
  <c r="I17"/>
  <c r="H407"/>
  <c r="H406"/>
  <c r="H402"/>
  <c r="H401"/>
  <c r="H400"/>
  <c r="H399"/>
  <c r="H398"/>
  <c r="H397"/>
  <c r="H396"/>
  <c r="H395"/>
  <c r="H394"/>
  <c r="H393"/>
  <c r="H392"/>
  <c r="H391"/>
  <c r="H390"/>
  <c r="H389"/>
  <c r="H388"/>
  <c r="H387"/>
  <c r="H384"/>
  <c r="H383"/>
  <c r="H382"/>
  <c r="H381"/>
  <c r="H380"/>
  <c r="H379"/>
  <c r="H378"/>
  <c r="B378" s="1"/>
  <c r="H377"/>
  <c r="H376"/>
  <c r="H375"/>
  <c r="H374"/>
  <c r="H372"/>
  <c r="H371"/>
  <c r="H370"/>
  <c r="H369"/>
  <c r="B369" s="1"/>
  <c r="H368"/>
  <c r="H367"/>
  <c r="H366"/>
  <c r="H365"/>
  <c r="H364"/>
  <c r="H363"/>
  <c r="H362"/>
  <c r="H361"/>
  <c r="H360"/>
  <c r="H359"/>
  <c r="H350"/>
  <c r="H349"/>
  <c r="B349" s="1"/>
  <c r="H348"/>
  <c r="H347"/>
  <c r="H346"/>
  <c r="H345"/>
  <c r="H344"/>
  <c r="H343"/>
  <c r="H342"/>
  <c r="H341"/>
  <c r="H340"/>
  <c r="H339"/>
  <c r="H338"/>
  <c r="H337"/>
  <c r="H336"/>
  <c r="H335"/>
  <c r="H334"/>
  <c r="H330"/>
  <c r="H329"/>
  <c r="H328"/>
  <c r="H327"/>
  <c r="H326"/>
  <c r="H324" s="1"/>
  <c r="H265"/>
  <c r="B265" s="1"/>
  <c r="H264"/>
  <c r="H263"/>
  <c r="H262"/>
  <c r="B262" s="1"/>
  <c r="H261"/>
  <c r="H260"/>
  <c r="H259"/>
  <c r="H225"/>
  <c r="H224"/>
  <c r="H223"/>
  <c r="H222"/>
  <c r="H221"/>
  <c r="H220"/>
  <c r="H219"/>
  <c r="H218"/>
  <c r="H217"/>
  <c r="B217" s="1"/>
  <c r="H216"/>
  <c r="H215"/>
  <c r="H214"/>
  <c r="H213"/>
  <c r="H212"/>
  <c r="H211"/>
  <c r="H210"/>
  <c r="H209"/>
  <c r="H208"/>
  <c r="H207"/>
  <c r="H151"/>
  <c r="B151" s="1"/>
  <c r="H150"/>
  <c r="B150" s="1"/>
  <c r="H149"/>
  <c r="B149" s="1"/>
  <c r="H148"/>
  <c r="H147"/>
  <c r="H146"/>
  <c r="H145"/>
  <c r="H144"/>
  <c r="H143"/>
  <c r="G212"/>
  <c r="G214"/>
  <c r="G215"/>
  <c r="G225"/>
  <c r="G132"/>
  <c r="B132" s="1"/>
  <c r="G131"/>
  <c r="G130"/>
  <c r="G129"/>
  <c r="G128"/>
  <c r="B128" s="1"/>
  <c r="G127"/>
  <c r="G126"/>
  <c r="B126" s="1"/>
  <c r="G125"/>
  <c r="B125" s="1"/>
  <c r="G124"/>
  <c r="G123"/>
  <c r="G70"/>
  <c r="F99"/>
  <c r="B99" s="1"/>
  <c r="F237"/>
  <c r="B237" s="1"/>
  <c r="F236"/>
  <c r="F235"/>
  <c r="F234"/>
  <c r="F233"/>
  <c r="B233" s="1"/>
  <c r="F232"/>
  <c r="F231"/>
  <c r="F230"/>
  <c r="F229"/>
  <c r="B229" s="1"/>
  <c r="F225"/>
  <c r="F223"/>
  <c r="F222"/>
  <c r="F221"/>
  <c r="F216"/>
  <c r="F214"/>
  <c r="F209"/>
  <c r="F207"/>
  <c r="B207" s="1"/>
  <c r="F104"/>
  <c r="B104" s="1"/>
  <c r="F103"/>
  <c r="B103" s="1"/>
  <c r="F102"/>
  <c r="B102" s="1"/>
  <c r="F101"/>
  <c r="B101" s="1"/>
  <c r="F100"/>
  <c r="B100" s="1"/>
  <c r="F98"/>
  <c r="B98" s="1"/>
  <c r="F97"/>
  <c r="F96"/>
  <c r="F94"/>
  <c r="B94" s="1"/>
  <c r="F95"/>
  <c r="B95" s="1"/>
  <c r="F93"/>
  <c r="E85"/>
  <c r="B85" s="1"/>
  <c r="E84"/>
  <c r="E83"/>
  <c r="B83" s="1"/>
  <c r="D408"/>
  <c r="D406"/>
  <c r="D393"/>
  <c r="D346"/>
  <c r="D332" s="1"/>
  <c r="D330"/>
  <c r="D329"/>
  <c r="D328"/>
  <c r="D327"/>
  <c r="D248"/>
  <c r="D247"/>
  <c r="D246"/>
  <c r="D245"/>
  <c r="D244"/>
  <c r="D89"/>
  <c r="D87" s="1"/>
  <c r="D79"/>
  <c r="D77"/>
  <c r="B77" s="1"/>
  <c r="D78"/>
  <c r="D76"/>
  <c r="B76" s="1"/>
  <c r="C209"/>
  <c r="C326"/>
  <c r="C328"/>
  <c r="C407"/>
  <c r="C404" s="1"/>
  <c r="C406"/>
  <c r="C402"/>
  <c r="C401"/>
  <c r="C400"/>
  <c r="B400" s="1"/>
  <c r="C399"/>
  <c r="C395"/>
  <c r="C398"/>
  <c r="C397"/>
  <c r="B397" s="1"/>
  <c r="C396"/>
  <c r="C394"/>
  <c r="C393"/>
  <c r="C392"/>
  <c r="C391"/>
  <c r="C390"/>
  <c r="C389"/>
  <c r="C388"/>
  <c r="C386"/>
  <c r="B386" s="1"/>
  <c r="C387"/>
  <c r="C385"/>
  <c r="C383"/>
  <c r="C384"/>
  <c r="C382"/>
  <c r="C379"/>
  <c r="C380"/>
  <c r="B380" s="1"/>
  <c r="C381"/>
  <c r="C378"/>
  <c r="C377"/>
  <c r="C376"/>
  <c r="B376" s="1"/>
  <c r="C373"/>
  <c r="C374"/>
  <c r="C375"/>
  <c r="C372"/>
  <c r="C370"/>
  <c r="C371"/>
  <c r="C369"/>
  <c r="C368"/>
  <c r="C367"/>
  <c r="C366"/>
  <c r="C365"/>
  <c r="C364"/>
  <c r="C363"/>
  <c r="C362"/>
  <c r="C361"/>
  <c r="C360"/>
  <c r="C359"/>
  <c r="C350"/>
  <c r="C349"/>
  <c r="C348"/>
  <c r="C347"/>
  <c r="C346"/>
  <c r="C345"/>
  <c r="C343"/>
  <c r="B343" s="1"/>
  <c r="C344"/>
  <c r="C342"/>
  <c r="C341"/>
  <c r="C340"/>
  <c r="B340" s="1"/>
  <c r="C339"/>
  <c r="C337"/>
  <c r="C338"/>
  <c r="C335"/>
  <c r="C336"/>
  <c r="B336" s="1"/>
  <c r="C334"/>
  <c r="C329"/>
  <c r="C327"/>
  <c r="C324" s="1"/>
  <c r="C330"/>
  <c r="C248"/>
  <c r="C247"/>
  <c r="C246"/>
  <c r="B246" s="1"/>
  <c r="C245"/>
  <c r="C244"/>
  <c r="B244" s="1"/>
  <c r="C243"/>
  <c r="C242"/>
  <c r="B242" s="1"/>
  <c r="C241"/>
  <c r="B241" s="1"/>
  <c r="C225"/>
  <c r="C224"/>
  <c r="C223"/>
  <c r="B223" s="1"/>
  <c r="C222"/>
  <c r="C221"/>
  <c r="C220"/>
  <c r="C219"/>
  <c r="C218"/>
  <c r="C217"/>
  <c r="C216"/>
  <c r="C215"/>
  <c r="B215" s="1"/>
  <c r="C214"/>
  <c r="C213"/>
  <c r="C211"/>
  <c r="C212"/>
  <c r="B212" s="1"/>
  <c r="C210"/>
  <c r="B210" s="1"/>
  <c r="C208"/>
  <c r="C207"/>
  <c r="C72"/>
  <c r="B72" s="1"/>
  <c r="C71"/>
  <c r="C70"/>
  <c r="B70" s="1"/>
  <c r="C69"/>
  <c r="C68"/>
  <c r="B68" s="1"/>
  <c r="C67"/>
  <c r="B67" s="1"/>
  <c r="C66"/>
  <c r="C65"/>
  <c r="C62"/>
  <c r="B62" s="1"/>
  <c r="C63"/>
  <c r="C64"/>
  <c r="C61"/>
  <c r="B478"/>
  <c r="B464"/>
  <c r="B460"/>
  <c r="B453"/>
  <c r="B449"/>
  <c r="B448"/>
  <c r="B445"/>
  <c r="B439"/>
  <c r="B436"/>
  <c r="B433"/>
  <c r="B432"/>
  <c r="B428"/>
  <c r="B425"/>
  <c r="B424"/>
  <c r="B420"/>
  <c r="B417"/>
  <c r="B416"/>
  <c r="B415"/>
  <c r="P404"/>
  <c r="O404"/>
  <c r="N404"/>
  <c r="M404"/>
  <c r="L404"/>
  <c r="J404"/>
  <c r="I404"/>
  <c r="G404"/>
  <c r="F404"/>
  <c r="E404"/>
  <c r="B385"/>
  <c r="B335"/>
  <c r="B312"/>
  <c r="B310"/>
  <c r="B308"/>
  <c r="B307"/>
  <c r="B306"/>
  <c r="B301"/>
  <c r="B299"/>
  <c r="B297"/>
  <c r="B295"/>
  <c r="B293"/>
  <c r="B291"/>
  <c r="B289"/>
  <c r="B284"/>
  <c r="B283"/>
  <c r="B279"/>
  <c r="B277"/>
  <c r="B275"/>
  <c r="B272"/>
  <c r="B271"/>
  <c r="B269"/>
  <c r="K267"/>
  <c r="B264"/>
  <c r="B263"/>
  <c r="B261"/>
  <c r="B260"/>
  <c r="B259"/>
  <c r="B243"/>
  <c r="B224"/>
  <c r="B218"/>
  <c r="B211"/>
  <c r="B208"/>
  <c r="E205"/>
  <c r="B203"/>
  <c r="B201"/>
  <c r="B200"/>
  <c r="B199"/>
  <c r="B197"/>
  <c r="B192"/>
  <c r="B190"/>
  <c r="B188"/>
  <c r="B186"/>
  <c r="B185"/>
  <c r="B184"/>
  <c r="B182"/>
  <c r="B181"/>
  <c r="B179"/>
  <c r="B177"/>
  <c r="B174"/>
  <c r="B172"/>
  <c r="B171"/>
  <c r="B169"/>
  <c r="B168"/>
  <c r="B165"/>
  <c r="B161"/>
  <c r="B157"/>
  <c r="B156"/>
  <c r="B148"/>
  <c r="B147"/>
  <c r="B146"/>
  <c r="B145"/>
  <c r="B144"/>
  <c r="B143"/>
  <c r="B131"/>
  <c r="B130"/>
  <c r="B129"/>
  <c r="B127"/>
  <c r="B124"/>
  <c r="B123"/>
  <c r="B119"/>
  <c r="B116"/>
  <c r="B115"/>
  <c r="B112"/>
  <c r="B111"/>
  <c r="B109"/>
  <c r="B108"/>
  <c r="B97"/>
  <c r="B96"/>
  <c r="B84"/>
  <c r="B79"/>
  <c r="B78"/>
  <c r="B71"/>
  <c r="G59"/>
  <c r="B69"/>
  <c r="B66"/>
  <c r="B65"/>
  <c r="B64"/>
  <c r="B63"/>
  <c r="B55"/>
  <c r="B53"/>
  <c r="B49"/>
  <c r="B47"/>
  <c r="B45"/>
  <c r="B41"/>
  <c r="B39"/>
  <c r="B37"/>
  <c r="B35"/>
  <c r="B33"/>
  <c r="B31"/>
  <c r="B29"/>
  <c r="B28"/>
  <c r="B25"/>
  <c r="B23"/>
  <c r="B21"/>
  <c r="B19"/>
  <c r="B17"/>
  <c r="B11"/>
  <c r="P9"/>
  <c r="O9"/>
  <c r="M423" i="9"/>
  <c r="M237"/>
  <c r="M236"/>
  <c r="M235"/>
  <c r="M234"/>
  <c r="M233"/>
  <c r="M232"/>
  <c r="M231"/>
  <c r="M230"/>
  <c r="M229"/>
  <c r="M225"/>
  <c r="M223"/>
  <c r="M222"/>
  <c r="M221"/>
  <c r="M216"/>
  <c r="M214"/>
  <c r="M209"/>
  <c r="M198"/>
  <c r="B198" s="1"/>
  <c r="M203"/>
  <c r="B203" s="1"/>
  <c r="M202"/>
  <c r="B202" s="1"/>
  <c r="M201"/>
  <c r="B201" s="1"/>
  <c r="M200"/>
  <c r="M199"/>
  <c r="M197"/>
  <c r="B197" s="1"/>
  <c r="M196"/>
  <c r="M476"/>
  <c r="M473"/>
  <c r="M469"/>
  <c r="M467"/>
  <c r="M466"/>
  <c r="M465"/>
  <c r="M461"/>
  <c r="M459"/>
  <c r="M458"/>
  <c r="M457"/>
  <c r="M455"/>
  <c r="M451"/>
  <c r="M450"/>
  <c r="M446"/>
  <c r="M440"/>
  <c r="M438"/>
  <c r="M437"/>
  <c r="M434"/>
  <c r="B434" s="1"/>
  <c r="M430"/>
  <c r="M431"/>
  <c r="N363"/>
  <c r="N225"/>
  <c r="N119"/>
  <c r="N401"/>
  <c r="N400"/>
  <c r="N399"/>
  <c r="N398"/>
  <c r="N397"/>
  <c r="N392"/>
  <c r="N390"/>
  <c r="N389"/>
  <c r="N388"/>
  <c r="N387"/>
  <c r="N386"/>
  <c r="N385"/>
  <c r="N384"/>
  <c r="N383"/>
  <c r="N382"/>
  <c r="N381"/>
  <c r="N380"/>
  <c r="N378"/>
  <c r="N377"/>
  <c r="N374"/>
  <c r="N373"/>
  <c r="N372"/>
  <c r="N371"/>
  <c r="N369"/>
  <c r="N368"/>
  <c r="N366"/>
  <c r="N365"/>
  <c r="N364"/>
  <c r="I42" i="16"/>
  <c r="J42"/>
  <c r="K42"/>
  <c r="N362" i="9"/>
  <c r="N361"/>
  <c r="N360"/>
  <c r="N359"/>
  <c r="N350"/>
  <c r="N349"/>
  <c r="N348"/>
  <c r="N347"/>
  <c r="N345"/>
  <c r="N344"/>
  <c r="N342"/>
  <c r="N341"/>
  <c r="N338"/>
  <c r="N337"/>
  <c r="N322"/>
  <c r="N321"/>
  <c r="N320"/>
  <c r="N319"/>
  <c r="N318"/>
  <c r="N317"/>
  <c r="N237"/>
  <c r="N236"/>
  <c r="N235"/>
  <c r="N234"/>
  <c r="N233"/>
  <c r="N232"/>
  <c r="N231"/>
  <c r="N230"/>
  <c r="N223"/>
  <c r="N222"/>
  <c r="N221"/>
  <c r="N214"/>
  <c r="N209"/>
  <c r="N118"/>
  <c r="B118" s="1"/>
  <c r="N117"/>
  <c r="N116"/>
  <c r="B116" s="1"/>
  <c r="N115"/>
  <c r="N114"/>
  <c r="B114" s="1"/>
  <c r="N113"/>
  <c r="N112"/>
  <c r="B112" s="1"/>
  <c r="N111"/>
  <c r="N110"/>
  <c r="B110" s="1"/>
  <c r="N109"/>
  <c r="N108"/>
  <c r="N106" s="1"/>
  <c r="L401"/>
  <c r="L400"/>
  <c r="L399"/>
  <c r="L398"/>
  <c r="L397"/>
  <c r="L396"/>
  <c r="L395"/>
  <c r="L394"/>
  <c r="L393"/>
  <c r="L392"/>
  <c r="L391"/>
  <c r="L390"/>
  <c r="L389"/>
  <c r="L388"/>
  <c r="L387"/>
  <c r="L386"/>
  <c r="L385"/>
  <c r="L384"/>
  <c r="L383"/>
  <c r="L382"/>
  <c r="L381"/>
  <c r="L380"/>
  <c r="L379"/>
  <c r="L378"/>
  <c r="L377"/>
  <c r="L374"/>
  <c r="L373"/>
  <c r="L372"/>
  <c r="L371"/>
  <c r="L370"/>
  <c r="L369"/>
  <c r="L368"/>
  <c r="L366"/>
  <c r="L365"/>
  <c r="L364"/>
  <c r="L363"/>
  <c r="L362"/>
  <c r="L361"/>
  <c r="L360"/>
  <c r="L359"/>
  <c r="L350"/>
  <c r="L349"/>
  <c r="L348"/>
  <c r="L347"/>
  <c r="L346"/>
  <c r="L345"/>
  <c r="L344"/>
  <c r="L343"/>
  <c r="L342"/>
  <c r="L341"/>
  <c r="L338"/>
  <c r="L337"/>
  <c r="L336"/>
  <c r="L335"/>
  <c r="L334"/>
  <c r="L322"/>
  <c r="B322" s="1"/>
  <c r="L321"/>
  <c r="L320"/>
  <c r="L319"/>
  <c r="L318"/>
  <c r="L315" s="1"/>
  <c r="L317"/>
  <c r="L313"/>
  <c r="B313" s="1"/>
  <c r="L312"/>
  <c r="L311"/>
  <c r="B311" s="1"/>
  <c r="L310"/>
  <c r="L309"/>
  <c r="B309" s="1"/>
  <c r="L308"/>
  <c r="B308" s="1"/>
  <c r="L307"/>
  <c r="B307" s="1"/>
  <c r="L306"/>
  <c r="L305"/>
  <c r="B305" s="1"/>
  <c r="L281"/>
  <c r="L280"/>
  <c r="L279"/>
  <c r="L276"/>
  <c r="L275"/>
  <c r="B275" s="1"/>
  <c r="L274"/>
  <c r="L272"/>
  <c r="K408"/>
  <c r="K407"/>
  <c r="K406"/>
  <c r="K404" s="1"/>
  <c r="K399"/>
  <c r="K398"/>
  <c r="K397"/>
  <c r="K396"/>
  <c r="K395"/>
  <c r="K394"/>
  <c r="K393"/>
  <c r="K392"/>
  <c r="K391"/>
  <c r="K390"/>
  <c r="K389"/>
  <c r="K388"/>
  <c r="K387"/>
  <c r="K384"/>
  <c r="K383"/>
  <c r="K382"/>
  <c r="K381"/>
  <c r="K380"/>
  <c r="K379"/>
  <c r="K378"/>
  <c r="K377"/>
  <c r="K376"/>
  <c r="K374"/>
  <c r="K373"/>
  <c r="K372"/>
  <c r="K371"/>
  <c r="K370"/>
  <c r="K369"/>
  <c r="K366"/>
  <c r="K365"/>
  <c r="K364"/>
  <c r="K363"/>
  <c r="K361"/>
  <c r="K360"/>
  <c r="K348"/>
  <c r="K347"/>
  <c r="K345"/>
  <c r="K344"/>
  <c r="K343"/>
  <c r="K342"/>
  <c r="K341"/>
  <c r="K338"/>
  <c r="K301"/>
  <c r="B301" s="1"/>
  <c r="K300"/>
  <c r="B300" s="1"/>
  <c r="K299"/>
  <c r="B299" s="1"/>
  <c r="K298"/>
  <c r="K297"/>
  <c r="B297" s="1"/>
  <c r="K296"/>
  <c r="B296" s="1"/>
  <c r="K295"/>
  <c r="B295" s="1"/>
  <c r="K294"/>
  <c r="K293"/>
  <c r="B293" s="1"/>
  <c r="K292"/>
  <c r="B292" s="1"/>
  <c r="K291"/>
  <c r="B291" s="1"/>
  <c r="K290"/>
  <c r="K289"/>
  <c r="K288"/>
  <c r="K286" s="1"/>
  <c r="J276"/>
  <c r="J347"/>
  <c r="J402"/>
  <c r="J401"/>
  <c r="J400"/>
  <c r="J399"/>
  <c r="J398"/>
  <c r="J397"/>
  <c r="J396"/>
  <c r="J395"/>
  <c r="J394"/>
  <c r="J393"/>
  <c r="J392"/>
  <c r="J391"/>
  <c r="J390"/>
  <c r="J389"/>
  <c r="J388"/>
  <c r="J386"/>
  <c r="J387"/>
  <c r="J385"/>
  <c r="J383"/>
  <c r="J384"/>
  <c r="J382"/>
  <c r="J378"/>
  <c r="B378" s="1"/>
  <c r="J379"/>
  <c r="J380"/>
  <c r="J381"/>
  <c r="J377"/>
  <c r="J373"/>
  <c r="J374"/>
  <c r="J375"/>
  <c r="J376"/>
  <c r="J372"/>
  <c r="J368"/>
  <c r="J369"/>
  <c r="J370"/>
  <c r="J371"/>
  <c r="J367"/>
  <c r="J366"/>
  <c r="J365"/>
  <c r="J364"/>
  <c r="J363"/>
  <c r="J362"/>
  <c r="J361"/>
  <c r="J360"/>
  <c r="J359"/>
  <c r="J350"/>
  <c r="J349"/>
  <c r="J348"/>
  <c r="J346"/>
  <c r="J345"/>
  <c r="J340"/>
  <c r="B340" s="1"/>
  <c r="J341"/>
  <c r="J342"/>
  <c r="J343"/>
  <c r="J344"/>
  <c r="J339"/>
  <c r="J336"/>
  <c r="J337"/>
  <c r="J338"/>
  <c r="J335"/>
  <c r="J334"/>
  <c r="J284"/>
  <c r="J283"/>
  <c r="B283" s="1"/>
  <c r="J282"/>
  <c r="J281"/>
  <c r="J280"/>
  <c r="J279"/>
  <c r="J278"/>
  <c r="J277"/>
  <c r="B277" s="1"/>
  <c r="J274"/>
  <c r="J273"/>
  <c r="B273" s="1"/>
  <c r="J272"/>
  <c r="J271"/>
  <c r="J270"/>
  <c r="J269"/>
  <c r="B269" s="1"/>
  <c r="I477"/>
  <c r="I478"/>
  <c r="B478" s="1"/>
  <c r="I476"/>
  <c r="I474"/>
  <c r="B474" s="1"/>
  <c r="I475"/>
  <c r="I473"/>
  <c r="I472"/>
  <c r="I471"/>
  <c r="B471" s="1"/>
  <c r="I470"/>
  <c r="I469"/>
  <c r="I467"/>
  <c r="I468"/>
  <c r="B468" s="1"/>
  <c r="I466"/>
  <c r="I465"/>
  <c r="I464"/>
  <c r="B464" s="1"/>
  <c r="I463"/>
  <c r="B463" s="1"/>
  <c r="I462"/>
  <c r="I461"/>
  <c r="I459"/>
  <c r="I460"/>
  <c r="B460" s="1"/>
  <c r="I458"/>
  <c r="I456"/>
  <c r="B456" s="1"/>
  <c r="I457"/>
  <c r="I455"/>
  <c r="B455" s="1"/>
  <c r="I452"/>
  <c r="I453"/>
  <c r="B453" s="1"/>
  <c r="I454"/>
  <c r="I451"/>
  <c r="I449"/>
  <c r="B449" s="1"/>
  <c r="I450"/>
  <c r="B450" s="1"/>
  <c r="I447"/>
  <c r="I448"/>
  <c r="B448" s="1"/>
  <c r="I446"/>
  <c r="I445"/>
  <c r="B445" s="1"/>
  <c r="I444"/>
  <c r="I442"/>
  <c r="B442" s="1"/>
  <c r="I443"/>
  <c r="I441"/>
  <c r="B441" s="1"/>
  <c r="I440"/>
  <c r="I439"/>
  <c r="B439" s="1"/>
  <c r="I438"/>
  <c r="I437"/>
  <c r="B437" s="1"/>
  <c r="I435"/>
  <c r="I436"/>
  <c r="B436" s="1"/>
  <c r="I434"/>
  <c r="I433"/>
  <c r="B433" s="1"/>
  <c r="I432"/>
  <c r="I431"/>
  <c r="B431" s="1"/>
  <c r="I427"/>
  <c r="I428"/>
  <c r="B428" s="1"/>
  <c r="I429"/>
  <c r="I426"/>
  <c r="B426" s="1"/>
  <c r="I425"/>
  <c r="I424"/>
  <c r="B424" s="1"/>
  <c r="I413"/>
  <c r="I414"/>
  <c r="B414" s="1"/>
  <c r="I415"/>
  <c r="I416"/>
  <c r="I417"/>
  <c r="I418"/>
  <c r="B418" s="1"/>
  <c r="I419"/>
  <c r="B419" s="1"/>
  <c r="I420"/>
  <c r="B420" s="1"/>
  <c r="I421"/>
  <c r="B421" s="1"/>
  <c r="I422"/>
  <c r="B422" s="1"/>
  <c r="I423"/>
  <c r="I412"/>
  <c r="C15" i="19"/>
  <c r="D15"/>
  <c r="E15"/>
  <c r="F15"/>
  <c r="G15"/>
  <c r="B15"/>
  <c r="G11"/>
  <c r="I192" i="9"/>
  <c r="B192" s="1"/>
  <c r="I191"/>
  <c r="I190"/>
  <c r="B190" s="1"/>
  <c r="I189"/>
  <c r="I188"/>
  <c r="I187"/>
  <c r="I186"/>
  <c r="B186" s="1"/>
  <c r="I185"/>
  <c r="I184"/>
  <c r="B184" s="1"/>
  <c r="I181"/>
  <c r="I182"/>
  <c r="B182" s="1"/>
  <c r="I183"/>
  <c r="B183" s="1"/>
  <c r="I180"/>
  <c r="B180" s="1"/>
  <c r="I179"/>
  <c r="I178"/>
  <c r="B178" s="1"/>
  <c r="I177"/>
  <c r="I176"/>
  <c r="B176" s="1"/>
  <c r="I174"/>
  <c r="I175"/>
  <c r="B175" s="1"/>
  <c r="I173"/>
  <c r="I171"/>
  <c r="B171" s="1"/>
  <c r="I172"/>
  <c r="B172" s="1"/>
  <c r="I170"/>
  <c r="B170" s="1"/>
  <c r="I169"/>
  <c r="I168"/>
  <c r="B168" s="1"/>
  <c r="I167"/>
  <c r="I166"/>
  <c r="B166" s="1"/>
  <c r="I165"/>
  <c r="B165" s="1"/>
  <c r="I164"/>
  <c r="B164" s="1"/>
  <c r="I163"/>
  <c r="I162"/>
  <c r="B162" s="1"/>
  <c r="I161"/>
  <c r="I160"/>
  <c r="B160" s="1"/>
  <c r="I159"/>
  <c r="I157"/>
  <c r="B157" s="1"/>
  <c r="I158"/>
  <c r="I156"/>
  <c r="B156" s="1"/>
  <c r="I155"/>
  <c r="I54"/>
  <c r="B54" s="1"/>
  <c r="I55"/>
  <c r="I53"/>
  <c r="B53" s="1"/>
  <c r="I52"/>
  <c r="I51"/>
  <c r="B51" s="1"/>
  <c r="I48"/>
  <c r="I49"/>
  <c r="B49" s="1"/>
  <c r="I50"/>
  <c r="I47"/>
  <c r="B47" s="1"/>
  <c r="I45"/>
  <c r="I46"/>
  <c r="B46" s="1"/>
  <c r="I44"/>
  <c r="I42"/>
  <c r="B42" s="1"/>
  <c r="I43"/>
  <c r="I41"/>
  <c r="B41" s="1"/>
  <c r="I40"/>
  <c r="I39"/>
  <c r="B39" s="1"/>
  <c r="I38"/>
  <c r="B38" s="1"/>
  <c r="I36"/>
  <c r="B36" s="1"/>
  <c r="I37"/>
  <c r="I35"/>
  <c r="B35" s="1"/>
  <c r="I33"/>
  <c r="I34"/>
  <c r="B34" s="1"/>
  <c r="I32"/>
  <c r="I26"/>
  <c r="B26" s="1"/>
  <c r="I25"/>
  <c r="I31"/>
  <c r="B31" s="1"/>
  <c r="I30"/>
  <c r="B30" s="1"/>
  <c r="I28"/>
  <c r="B28" s="1"/>
  <c r="I29"/>
  <c r="I27"/>
  <c r="B27" s="1"/>
  <c r="I24"/>
  <c r="I23"/>
  <c r="B23" s="1"/>
  <c r="I22"/>
  <c r="I21"/>
  <c r="B21" s="1"/>
  <c r="I20"/>
  <c r="I19"/>
  <c r="I18"/>
  <c r="B18" s="1"/>
  <c r="I17"/>
  <c r="B17" s="1"/>
  <c r="C407"/>
  <c r="C406"/>
  <c r="C402"/>
  <c r="C401"/>
  <c r="C400"/>
  <c r="C399"/>
  <c r="C398"/>
  <c r="C397"/>
  <c r="C396"/>
  <c r="C395"/>
  <c r="C394"/>
  <c r="C393"/>
  <c r="C392"/>
  <c r="C391"/>
  <c r="C390"/>
  <c r="C389"/>
  <c r="C388"/>
  <c r="C387"/>
  <c r="C386"/>
  <c r="C385"/>
  <c r="C384"/>
  <c r="C383"/>
  <c r="B383" s="1"/>
  <c r="C382"/>
  <c r="C378"/>
  <c r="C379"/>
  <c r="C380"/>
  <c r="C381"/>
  <c r="C377"/>
  <c r="C374"/>
  <c r="C375"/>
  <c r="C376"/>
  <c r="C373"/>
  <c r="C372"/>
  <c r="C368"/>
  <c r="C369"/>
  <c r="C370"/>
  <c r="C371"/>
  <c r="C367"/>
  <c r="C364"/>
  <c r="C365"/>
  <c r="C366"/>
  <c r="C363"/>
  <c r="C361"/>
  <c r="C362"/>
  <c r="C360"/>
  <c r="C359"/>
  <c r="C350"/>
  <c r="C349"/>
  <c r="C348"/>
  <c r="C347"/>
  <c r="B347" s="1"/>
  <c r="C346"/>
  <c r="C345"/>
  <c r="C343"/>
  <c r="C344"/>
  <c r="C342"/>
  <c r="C341"/>
  <c r="C340"/>
  <c r="C339"/>
  <c r="C335"/>
  <c r="C336"/>
  <c r="C337"/>
  <c r="C338"/>
  <c r="C332" s="1"/>
  <c r="C334"/>
  <c r="C330"/>
  <c r="C329"/>
  <c r="C328"/>
  <c r="C327"/>
  <c r="C326"/>
  <c r="C248"/>
  <c r="C247"/>
  <c r="C246"/>
  <c r="C245"/>
  <c r="C244"/>
  <c r="C243"/>
  <c r="B243" s="1"/>
  <c r="C242"/>
  <c r="C241"/>
  <c r="B241" s="1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72"/>
  <c r="B72" s="1"/>
  <c r="C71"/>
  <c r="C70"/>
  <c r="C69"/>
  <c r="C68"/>
  <c r="B68" s="1"/>
  <c r="C67"/>
  <c r="C66"/>
  <c r="B66" s="1"/>
  <c r="C65"/>
  <c r="C62"/>
  <c r="B62" s="1"/>
  <c r="C63"/>
  <c r="B63" s="1"/>
  <c r="C64"/>
  <c r="B64" s="1"/>
  <c r="C61"/>
  <c r="E85"/>
  <c r="E84"/>
  <c r="E83"/>
  <c r="B83" s="1"/>
  <c r="F237"/>
  <c r="F236"/>
  <c r="F235"/>
  <c r="F234"/>
  <c r="F233"/>
  <c r="F232"/>
  <c r="F231"/>
  <c r="F230"/>
  <c r="B230" s="1"/>
  <c r="F229"/>
  <c r="F225"/>
  <c r="F223"/>
  <c r="F222"/>
  <c r="B222" s="1"/>
  <c r="F221"/>
  <c r="F216"/>
  <c r="F214"/>
  <c r="F209"/>
  <c r="F205" s="1"/>
  <c r="F207"/>
  <c r="F104"/>
  <c r="F103"/>
  <c r="B103" s="1"/>
  <c r="F102"/>
  <c r="B102" s="1"/>
  <c r="F101"/>
  <c r="F100"/>
  <c r="B100" s="1"/>
  <c r="F99"/>
  <c r="B99" s="1"/>
  <c r="F98"/>
  <c r="B98" s="1"/>
  <c r="F97"/>
  <c r="F96"/>
  <c r="B96" s="1"/>
  <c r="F94"/>
  <c r="F95"/>
  <c r="B95" s="1"/>
  <c r="F93"/>
  <c r="G225"/>
  <c r="G215"/>
  <c r="G214"/>
  <c r="G205" s="1"/>
  <c r="G212"/>
  <c r="G132"/>
  <c r="B132" s="1"/>
  <c r="G131"/>
  <c r="G130"/>
  <c r="B130" s="1"/>
  <c r="G129"/>
  <c r="G128"/>
  <c r="B128" s="1"/>
  <c r="G127"/>
  <c r="G126"/>
  <c r="B126" s="1"/>
  <c r="G125"/>
  <c r="B125" s="1"/>
  <c r="G124"/>
  <c r="B124" s="1"/>
  <c r="G123"/>
  <c r="G70"/>
  <c r="G59" s="1"/>
  <c r="H151"/>
  <c r="H150"/>
  <c r="B150" s="1"/>
  <c r="H149"/>
  <c r="H148"/>
  <c r="B148" s="1"/>
  <c r="H147"/>
  <c r="H146"/>
  <c r="B146" s="1"/>
  <c r="H145"/>
  <c r="H144"/>
  <c r="B144" s="1"/>
  <c r="H143"/>
  <c r="H225"/>
  <c r="H224"/>
  <c r="H223"/>
  <c r="B223" s="1"/>
  <c r="H222"/>
  <c r="H221"/>
  <c r="H220"/>
  <c r="H219"/>
  <c r="H218"/>
  <c r="H217"/>
  <c r="H216"/>
  <c r="H215"/>
  <c r="H214"/>
  <c r="H213"/>
  <c r="H212"/>
  <c r="H211"/>
  <c r="H210"/>
  <c r="H209"/>
  <c r="H208"/>
  <c r="H207"/>
  <c r="H265"/>
  <c r="H264"/>
  <c r="B264" s="1"/>
  <c r="H263"/>
  <c r="H262"/>
  <c r="B262" s="1"/>
  <c r="H261"/>
  <c r="H260"/>
  <c r="B260" s="1"/>
  <c r="H259"/>
  <c r="H407"/>
  <c r="H404" s="1"/>
  <c r="H406"/>
  <c r="H402"/>
  <c r="B402" s="1"/>
  <c r="H401"/>
  <c r="H400"/>
  <c r="H399"/>
  <c r="H398"/>
  <c r="H397"/>
  <c r="H396"/>
  <c r="B396" s="1"/>
  <c r="H394"/>
  <c r="H395"/>
  <c r="H393"/>
  <c r="H392"/>
  <c r="B392" s="1"/>
  <c r="H391"/>
  <c r="H390"/>
  <c r="H389"/>
  <c r="H388"/>
  <c r="H387"/>
  <c r="H383"/>
  <c r="H384"/>
  <c r="H382"/>
  <c r="B382" s="1"/>
  <c r="H378"/>
  <c r="H379"/>
  <c r="B379" s="1"/>
  <c r="H380"/>
  <c r="H381"/>
  <c r="B381" s="1"/>
  <c r="H377"/>
  <c r="H375"/>
  <c r="H376"/>
  <c r="H374"/>
  <c r="H372"/>
  <c r="H368"/>
  <c r="H369"/>
  <c r="H370"/>
  <c r="B370" s="1"/>
  <c r="H371"/>
  <c r="H367"/>
  <c r="H364"/>
  <c r="H365"/>
  <c r="B365" s="1"/>
  <c r="H366"/>
  <c r="H363"/>
  <c r="H362"/>
  <c r="H361"/>
  <c r="H360"/>
  <c r="H359"/>
  <c r="H350"/>
  <c r="H349"/>
  <c r="B349" s="1"/>
  <c r="H348"/>
  <c r="H347"/>
  <c r="H346"/>
  <c r="H345"/>
  <c r="B345" s="1"/>
  <c r="H342"/>
  <c r="H343"/>
  <c r="H344"/>
  <c r="H341"/>
  <c r="B341" s="1"/>
  <c r="H340"/>
  <c r="H339"/>
  <c r="H337"/>
  <c r="H338"/>
  <c r="H335"/>
  <c r="H336"/>
  <c r="H334"/>
  <c r="H330"/>
  <c r="H329"/>
  <c r="H328"/>
  <c r="H326"/>
  <c r="H327"/>
  <c r="D205"/>
  <c r="E205"/>
  <c r="K141" i="17"/>
  <c r="K140"/>
  <c r="K139"/>
  <c r="K138"/>
  <c r="K135"/>
  <c r="K134"/>
  <c r="K133"/>
  <c r="K132"/>
  <c r="K129"/>
  <c r="K128"/>
  <c r="K127"/>
  <c r="K126"/>
  <c r="K125"/>
  <c r="K124"/>
  <c r="K123"/>
  <c r="K122"/>
  <c r="K119"/>
  <c r="K118"/>
  <c r="K117"/>
  <c r="K116"/>
  <c r="K113"/>
  <c r="K112"/>
  <c r="K111"/>
  <c r="K110"/>
  <c r="K109"/>
  <c r="K106"/>
  <c r="K105"/>
  <c r="K104"/>
  <c r="K101"/>
  <c r="K100"/>
  <c r="K99"/>
  <c r="K98"/>
  <c r="K97"/>
  <c r="K96"/>
  <c r="K95"/>
  <c r="K94"/>
  <c r="K91"/>
  <c r="K90"/>
  <c r="K88"/>
  <c r="K87"/>
  <c r="K86"/>
  <c r="K85"/>
  <c r="K84"/>
  <c r="K81"/>
  <c r="K80"/>
  <c r="K79"/>
  <c r="K78"/>
  <c r="K77"/>
  <c r="K76"/>
  <c r="K75"/>
  <c r="K72"/>
  <c r="K71"/>
  <c r="K70"/>
  <c r="K69"/>
  <c r="K68"/>
  <c r="K67"/>
  <c r="K66"/>
  <c r="K65"/>
  <c r="K64"/>
  <c r="K61"/>
  <c r="K60"/>
  <c r="K59"/>
  <c r="K58"/>
  <c r="K57"/>
  <c r="K56"/>
  <c r="K55"/>
  <c r="K54"/>
  <c r="K51"/>
  <c r="K50"/>
  <c r="K49"/>
  <c r="K47"/>
  <c r="K46"/>
  <c r="K45"/>
  <c r="K42"/>
  <c r="K40"/>
  <c r="K38"/>
  <c r="K37"/>
  <c r="K34"/>
  <c r="K33"/>
  <c r="K32"/>
  <c r="K31"/>
  <c r="K29"/>
  <c r="K28"/>
  <c r="K27"/>
  <c r="K24"/>
  <c r="K23"/>
  <c r="K22"/>
  <c r="K19"/>
  <c r="K18"/>
  <c r="K17"/>
  <c r="K16"/>
  <c r="K15"/>
  <c r="K14"/>
  <c r="K13"/>
  <c r="K12"/>
  <c r="J141"/>
  <c r="J140"/>
  <c r="J139"/>
  <c r="J138"/>
  <c r="J135"/>
  <c r="J134"/>
  <c r="J133"/>
  <c r="J132"/>
  <c r="J129"/>
  <c r="J128"/>
  <c r="J127"/>
  <c r="J126"/>
  <c r="J125"/>
  <c r="J124"/>
  <c r="J123"/>
  <c r="J122"/>
  <c r="J119"/>
  <c r="J118"/>
  <c r="J117"/>
  <c r="J116"/>
  <c r="J113"/>
  <c r="J112"/>
  <c r="J111"/>
  <c r="J110"/>
  <c r="J109"/>
  <c r="J106"/>
  <c r="J105"/>
  <c r="J104"/>
  <c r="J101"/>
  <c r="J100"/>
  <c r="J99"/>
  <c r="J98"/>
  <c r="J97"/>
  <c r="J96"/>
  <c r="J95"/>
  <c r="J94"/>
  <c r="J91"/>
  <c r="J90"/>
  <c r="J89"/>
  <c r="J88"/>
  <c r="J87"/>
  <c r="J86"/>
  <c r="J85"/>
  <c r="J84"/>
  <c r="J81"/>
  <c r="J80"/>
  <c r="J79"/>
  <c r="J78"/>
  <c r="J77"/>
  <c r="J76"/>
  <c r="J75"/>
  <c r="J72"/>
  <c r="J71"/>
  <c r="J70"/>
  <c r="J69"/>
  <c r="J68"/>
  <c r="J67"/>
  <c r="J66"/>
  <c r="J65"/>
  <c r="J64"/>
  <c r="J61"/>
  <c r="J60"/>
  <c r="J59"/>
  <c r="J58"/>
  <c r="J57"/>
  <c r="J56"/>
  <c r="J55"/>
  <c r="J54"/>
  <c r="J51"/>
  <c r="J50"/>
  <c r="J49"/>
  <c r="J48"/>
  <c r="J47"/>
  <c r="J46"/>
  <c r="J45"/>
  <c r="J42"/>
  <c r="J41"/>
  <c r="J40"/>
  <c r="J39"/>
  <c r="J38"/>
  <c r="J37"/>
  <c r="J34"/>
  <c r="J33"/>
  <c r="J32"/>
  <c r="J31"/>
  <c r="J30"/>
  <c r="J29"/>
  <c r="J28"/>
  <c r="J27"/>
  <c r="J24"/>
  <c r="J23"/>
  <c r="J22"/>
  <c r="J19"/>
  <c r="J18"/>
  <c r="J17"/>
  <c r="J16"/>
  <c r="J15"/>
  <c r="J14"/>
  <c r="J13"/>
  <c r="J12"/>
  <c r="I141"/>
  <c r="I140"/>
  <c r="I139"/>
  <c r="I138"/>
  <c r="I135"/>
  <c r="I134"/>
  <c r="I133"/>
  <c r="I132"/>
  <c r="I129"/>
  <c r="I128"/>
  <c r="I127"/>
  <c r="I126"/>
  <c r="I125"/>
  <c r="I124"/>
  <c r="I123"/>
  <c r="I122"/>
  <c r="I119"/>
  <c r="I118"/>
  <c r="I117"/>
  <c r="I116"/>
  <c r="I113"/>
  <c r="I112"/>
  <c r="I111"/>
  <c r="I110"/>
  <c r="I109"/>
  <c r="I106"/>
  <c r="I105"/>
  <c r="I104"/>
  <c r="I101"/>
  <c r="I100"/>
  <c r="I99"/>
  <c r="I98"/>
  <c r="I97"/>
  <c r="I96"/>
  <c r="I95"/>
  <c r="I94"/>
  <c r="I91"/>
  <c r="I90"/>
  <c r="I89"/>
  <c r="I88"/>
  <c r="I87"/>
  <c r="I86"/>
  <c r="I85"/>
  <c r="I84"/>
  <c r="I81"/>
  <c r="I80"/>
  <c r="I78"/>
  <c r="I77"/>
  <c r="I76"/>
  <c r="I75"/>
  <c r="I72"/>
  <c r="I71"/>
  <c r="I70"/>
  <c r="I69"/>
  <c r="I68"/>
  <c r="I67"/>
  <c r="I66"/>
  <c r="I65"/>
  <c r="I64"/>
  <c r="I61"/>
  <c r="I60"/>
  <c r="I59"/>
  <c r="I58"/>
  <c r="I57"/>
  <c r="I56"/>
  <c r="I55"/>
  <c r="I54"/>
  <c r="I51"/>
  <c r="I50"/>
  <c r="I49"/>
  <c r="I48"/>
  <c r="I47"/>
  <c r="I46"/>
  <c r="I45"/>
  <c r="I42"/>
  <c r="I41"/>
  <c r="I40"/>
  <c r="I39"/>
  <c r="I38"/>
  <c r="I37"/>
  <c r="I34"/>
  <c r="I33"/>
  <c r="I32"/>
  <c r="I31"/>
  <c r="I30"/>
  <c r="I29"/>
  <c r="I28"/>
  <c r="I27"/>
  <c r="I24"/>
  <c r="I23"/>
  <c r="I22"/>
  <c r="I19"/>
  <c r="I18"/>
  <c r="I17"/>
  <c r="I16"/>
  <c r="I15"/>
  <c r="I14"/>
  <c r="I13"/>
  <c r="I12"/>
  <c r="K99" i="24"/>
  <c r="J99"/>
  <c r="I99"/>
  <c r="K96"/>
  <c r="J96"/>
  <c r="I96"/>
  <c r="K95"/>
  <c r="J95"/>
  <c r="I95"/>
  <c r="K92"/>
  <c r="J92"/>
  <c r="I92"/>
  <c r="K91"/>
  <c r="J91"/>
  <c r="I91"/>
  <c r="K90"/>
  <c r="J90"/>
  <c r="I90"/>
  <c r="K89"/>
  <c r="J89"/>
  <c r="I89"/>
  <c r="K88"/>
  <c r="J88"/>
  <c r="I88"/>
  <c r="K85"/>
  <c r="J85"/>
  <c r="I85"/>
  <c r="K84"/>
  <c r="J84"/>
  <c r="I84"/>
  <c r="K81"/>
  <c r="J81"/>
  <c r="I81"/>
  <c r="K80"/>
  <c r="J80"/>
  <c r="I80"/>
  <c r="K79"/>
  <c r="J79"/>
  <c r="I79"/>
  <c r="K78"/>
  <c r="J78"/>
  <c r="I78"/>
  <c r="K77"/>
  <c r="J77"/>
  <c r="I77"/>
  <c r="K76"/>
  <c r="J76"/>
  <c r="I76"/>
  <c r="K73"/>
  <c r="J73"/>
  <c r="I73"/>
  <c r="K72"/>
  <c r="J72"/>
  <c r="I72"/>
  <c r="K71"/>
  <c r="J71"/>
  <c r="I71"/>
  <c r="K70"/>
  <c r="J70"/>
  <c r="I70"/>
  <c r="K69"/>
  <c r="J69"/>
  <c r="I69"/>
  <c r="K68"/>
  <c r="J68"/>
  <c r="I68"/>
  <c r="K65"/>
  <c r="J65"/>
  <c r="I65"/>
  <c r="K64"/>
  <c r="J64"/>
  <c r="I64"/>
  <c r="K63"/>
  <c r="J63"/>
  <c r="I63"/>
  <c r="K62"/>
  <c r="J62"/>
  <c r="I62"/>
  <c r="K61"/>
  <c r="J61"/>
  <c r="I61"/>
  <c r="K60"/>
  <c r="J60"/>
  <c r="I60"/>
  <c r="K57"/>
  <c r="J57"/>
  <c r="I57"/>
  <c r="K56"/>
  <c r="J56"/>
  <c r="I56"/>
  <c r="K55"/>
  <c r="J55"/>
  <c r="I55"/>
  <c r="K54"/>
  <c r="J54"/>
  <c r="I54"/>
  <c r="K53"/>
  <c r="J53"/>
  <c r="I53"/>
  <c r="K50"/>
  <c r="J50"/>
  <c r="I50"/>
  <c r="K49"/>
  <c r="J49"/>
  <c r="I49"/>
  <c r="K48"/>
  <c r="J48"/>
  <c r="I48"/>
  <c r="K47"/>
  <c r="J47"/>
  <c r="I47"/>
  <c r="K46"/>
  <c r="J46"/>
  <c r="I46"/>
  <c r="K43"/>
  <c r="J43"/>
  <c r="I43"/>
  <c r="K42"/>
  <c r="J42"/>
  <c r="I42"/>
  <c r="K41"/>
  <c r="J41"/>
  <c r="I41"/>
  <c r="K38"/>
  <c r="J38"/>
  <c r="I38"/>
  <c r="K37"/>
  <c r="J37"/>
  <c r="I37"/>
  <c r="K36"/>
  <c r="J36"/>
  <c r="I36"/>
  <c r="K35"/>
  <c r="J35"/>
  <c r="I35"/>
  <c r="K34"/>
  <c r="J34"/>
  <c r="I34"/>
  <c r="K31"/>
  <c r="J31"/>
  <c r="I31"/>
  <c r="K30"/>
  <c r="J30"/>
  <c r="I30"/>
  <c r="K29"/>
  <c r="J29"/>
  <c r="I29"/>
  <c r="K28"/>
  <c r="J28"/>
  <c r="I28"/>
  <c r="K25"/>
  <c r="J25"/>
  <c r="I25"/>
  <c r="K24"/>
  <c r="J24"/>
  <c r="I24"/>
  <c r="K23"/>
  <c r="J23"/>
  <c r="I23"/>
  <c r="K22"/>
  <c r="J22"/>
  <c r="I22"/>
  <c r="K19"/>
  <c r="J19"/>
  <c r="I19"/>
  <c r="K16"/>
  <c r="J16"/>
  <c r="I16"/>
  <c r="K15"/>
  <c r="J15"/>
  <c r="I15"/>
  <c r="K14"/>
  <c r="J14"/>
  <c r="I14"/>
  <c r="K13"/>
  <c r="J13"/>
  <c r="I13"/>
  <c r="K12"/>
  <c r="J12"/>
  <c r="I12"/>
  <c r="E98"/>
  <c r="E94"/>
  <c r="E87"/>
  <c r="E83"/>
  <c r="E75"/>
  <c r="E67"/>
  <c r="E59"/>
  <c r="E52"/>
  <c r="E45"/>
  <c r="E40"/>
  <c r="E33"/>
  <c r="E27"/>
  <c r="E21"/>
  <c r="E18"/>
  <c r="E11"/>
  <c r="J103" i="23"/>
  <c r="J102"/>
  <c r="J101"/>
  <c r="J98"/>
  <c r="J97"/>
  <c r="J94"/>
  <c r="J93"/>
  <c r="J92"/>
  <c r="J91"/>
  <c r="J90"/>
  <c r="J89"/>
  <c r="J88"/>
  <c r="J87"/>
  <c r="J84"/>
  <c r="J83"/>
  <c r="J82"/>
  <c r="J81"/>
  <c r="J80"/>
  <c r="J79"/>
  <c r="J76"/>
  <c r="J75"/>
  <c r="J74"/>
  <c r="J73"/>
  <c r="J72"/>
  <c r="J71"/>
  <c r="J68"/>
  <c r="J67"/>
  <c r="J66"/>
  <c r="J65"/>
  <c r="J64"/>
  <c r="J63"/>
  <c r="J60"/>
  <c r="J59"/>
  <c r="J58"/>
  <c r="J56"/>
  <c r="J55"/>
  <c r="J54"/>
  <c r="J51"/>
  <c r="J50"/>
  <c r="J49"/>
  <c r="J48"/>
  <c r="J47"/>
  <c r="J46"/>
  <c r="J43"/>
  <c r="J42"/>
  <c r="J41"/>
  <c r="J39"/>
  <c r="J36"/>
  <c r="J35"/>
  <c r="J34"/>
  <c r="J33"/>
  <c r="J32"/>
  <c r="J29"/>
  <c r="J28"/>
  <c r="J27"/>
  <c r="J26"/>
  <c r="J25"/>
  <c r="J24"/>
  <c r="J21"/>
  <c r="J18"/>
  <c r="J17"/>
  <c r="J16"/>
  <c r="J15"/>
  <c r="J14"/>
  <c r="J13"/>
  <c r="J12"/>
  <c r="I114"/>
  <c r="I113"/>
  <c r="I110"/>
  <c r="I109"/>
  <c r="I108"/>
  <c r="I105"/>
  <c r="I104"/>
  <c r="I103"/>
  <c r="I102"/>
  <c r="I101"/>
  <c r="I98"/>
  <c r="I97"/>
  <c r="I94"/>
  <c r="I93"/>
  <c r="I92"/>
  <c r="I91"/>
  <c r="I90"/>
  <c r="I89"/>
  <c r="I88"/>
  <c r="I87"/>
  <c r="I84"/>
  <c r="I83"/>
  <c r="I82"/>
  <c r="I81"/>
  <c r="I80"/>
  <c r="I79"/>
  <c r="I76"/>
  <c r="I75"/>
  <c r="I74"/>
  <c r="I73"/>
  <c r="I72"/>
  <c r="I71"/>
  <c r="I68"/>
  <c r="I67"/>
  <c r="I66"/>
  <c r="I65"/>
  <c r="I64"/>
  <c r="I63"/>
  <c r="I60"/>
  <c r="I59"/>
  <c r="I58"/>
  <c r="I57"/>
  <c r="I56"/>
  <c r="I55"/>
  <c r="I54"/>
  <c r="I51"/>
  <c r="I50"/>
  <c r="I49"/>
  <c r="I48"/>
  <c r="I47"/>
  <c r="I46"/>
  <c r="I43"/>
  <c r="I42"/>
  <c r="I41"/>
  <c r="I40"/>
  <c r="I39"/>
  <c r="I36"/>
  <c r="I35"/>
  <c r="I34"/>
  <c r="I33"/>
  <c r="I32"/>
  <c r="I29"/>
  <c r="I28"/>
  <c r="I27"/>
  <c r="I26"/>
  <c r="I25"/>
  <c r="I24"/>
  <c r="I21"/>
  <c r="I18"/>
  <c r="I17"/>
  <c r="I16"/>
  <c r="I15"/>
  <c r="I14"/>
  <c r="I13"/>
  <c r="I12"/>
  <c r="K115"/>
  <c r="J115"/>
  <c r="I115"/>
  <c r="K114"/>
  <c r="J114"/>
  <c r="K113"/>
  <c r="J113"/>
  <c r="K110"/>
  <c r="J110"/>
  <c r="K109"/>
  <c r="J109"/>
  <c r="K108"/>
  <c r="J108"/>
  <c r="K105"/>
  <c r="J105"/>
  <c r="K104"/>
  <c r="J104"/>
  <c r="K103"/>
  <c r="K102"/>
  <c r="K101"/>
  <c r="K98"/>
  <c r="K97"/>
  <c r="K94"/>
  <c r="K93"/>
  <c r="K92"/>
  <c r="K91"/>
  <c r="K90"/>
  <c r="K89"/>
  <c r="K88"/>
  <c r="K87"/>
  <c r="K84"/>
  <c r="K83"/>
  <c r="K82"/>
  <c r="K81"/>
  <c r="K80"/>
  <c r="K79"/>
  <c r="K76"/>
  <c r="K75"/>
  <c r="K74"/>
  <c r="K73"/>
  <c r="K72"/>
  <c r="K71"/>
  <c r="K68"/>
  <c r="K67"/>
  <c r="K66"/>
  <c r="K65"/>
  <c r="K64"/>
  <c r="K63"/>
  <c r="K60"/>
  <c r="K59"/>
  <c r="K58"/>
  <c r="K57"/>
  <c r="J57"/>
  <c r="K56"/>
  <c r="K55"/>
  <c r="K54"/>
  <c r="K51"/>
  <c r="K50"/>
  <c r="K49"/>
  <c r="K48"/>
  <c r="K47"/>
  <c r="K46"/>
  <c r="K43"/>
  <c r="K42"/>
  <c r="K41"/>
  <c r="K40"/>
  <c r="J40"/>
  <c r="K39"/>
  <c r="K36"/>
  <c r="K35"/>
  <c r="K34"/>
  <c r="K33"/>
  <c r="K32"/>
  <c r="K29"/>
  <c r="K28"/>
  <c r="K27"/>
  <c r="K26"/>
  <c r="K25"/>
  <c r="K24"/>
  <c r="K21"/>
  <c r="K18"/>
  <c r="K17"/>
  <c r="K16"/>
  <c r="K15"/>
  <c r="K14"/>
  <c r="K13"/>
  <c r="K12"/>
  <c r="C112"/>
  <c r="D112"/>
  <c r="E112"/>
  <c r="F112"/>
  <c r="G112"/>
  <c r="B112"/>
  <c r="C107"/>
  <c r="D107"/>
  <c r="E107"/>
  <c r="F107"/>
  <c r="G107"/>
  <c r="B107"/>
  <c r="C100"/>
  <c r="D100"/>
  <c r="E100"/>
  <c r="F100"/>
  <c r="G100"/>
  <c r="B100"/>
  <c r="C96"/>
  <c r="D96"/>
  <c r="E96"/>
  <c r="F96"/>
  <c r="G96"/>
  <c r="B96"/>
  <c r="C86"/>
  <c r="D86"/>
  <c r="E86"/>
  <c r="F86"/>
  <c r="G86"/>
  <c r="B86"/>
  <c r="C78"/>
  <c r="D78"/>
  <c r="E78"/>
  <c r="F78"/>
  <c r="G78"/>
  <c r="B78"/>
  <c r="C70"/>
  <c r="D70"/>
  <c r="E70"/>
  <c r="F70"/>
  <c r="G70"/>
  <c r="B70"/>
  <c r="C62"/>
  <c r="D62"/>
  <c r="E62"/>
  <c r="F62"/>
  <c r="G62"/>
  <c r="B62"/>
  <c r="C53"/>
  <c r="D53"/>
  <c r="E53"/>
  <c r="F53"/>
  <c r="G53"/>
  <c r="B53"/>
  <c r="C45"/>
  <c r="D45"/>
  <c r="E45"/>
  <c r="F45"/>
  <c r="G45"/>
  <c r="B45"/>
  <c r="C38"/>
  <c r="D38"/>
  <c r="E38"/>
  <c r="F38"/>
  <c r="G38"/>
  <c r="B38"/>
  <c r="C31"/>
  <c r="D31"/>
  <c r="E31"/>
  <c r="F31"/>
  <c r="G31"/>
  <c r="B31"/>
  <c r="C23"/>
  <c r="D23"/>
  <c r="E23"/>
  <c r="F23"/>
  <c r="G23"/>
  <c r="B23"/>
  <c r="C20"/>
  <c r="D20"/>
  <c r="E20"/>
  <c r="F20"/>
  <c r="G20"/>
  <c r="B20"/>
  <c r="C11"/>
  <c r="D11"/>
  <c r="E11"/>
  <c r="F11"/>
  <c r="G11"/>
  <c r="B11"/>
  <c r="I107" i="18"/>
  <c r="I106"/>
  <c r="I105"/>
  <c r="J102"/>
  <c r="J101"/>
  <c r="J100"/>
  <c r="J97"/>
  <c r="J95"/>
  <c r="J94"/>
  <c r="J93"/>
  <c r="J92"/>
  <c r="J91"/>
  <c r="J88"/>
  <c r="J87"/>
  <c r="J86"/>
  <c r="K83"/>
  <c r="K82"/>
  <c r="K81"/>
  <c r="K80"/>
  <c r="K79"/>
  <c r="K76"/>
  <c r="K75"/>
  <c r="K74"/>
  <c r="K71"/>
  <c r="K70"/>
  <c r="K69"/>
  <c r="K65"/>
  <c r="K64"/>
  <c r="I57"/>
  <c r="J57"/>
  <c r="K57"/>
  <c r="K63"/>
  <c r="K62"/>
  <c r="K59"/>
  <c r="K58"/>
  <c r="K56"/>
  <c r="K55"/>
  <c r="K54"/>
  <c r="J51"/>
  <c r="J50"/>
  <c r="J49"/>
  <c r="J46"/>
  <c r="J45"/>
  <c r="J44"/>
  <c r="J43"/>
  <c r="J42"/>
  <c r="J41"/>
  <c r="J38"/>
  <c r="J37"/>
  <c r="J36"/>
  <c r="J33"/>
  <c r="J32"/>
  <c r="J31"/>
  <c r="J30"/>
  <c r="I27"/>
  <c r="I26"/>
  <c r="I22"/>
  <c r="I21"/>
  <c r="I20"/>
  <c r="I19"/>
  <c r="I18"/>
  <c r="I17"/>
  <c r="I16"/>
  <c r="I15"/>
  <c r="I14"/>
  <c r="I13"/>
  <c r="I12"/>
  <c r="C104"/>
  <c r="D104"/>
  <c r="E104"/>
  <c r="F104"/>
  <c r="G104"/>
  <c r="B104"/>
  <c r="C99"/>
  <c r="D99"/>
  <c r="E99"/>
  <c r="F99"/>
  <c r="G99"/>
  <c r="B99"/>
  <c r="C90"/>
  <c r="D90"/>
  <c r="E90"/>
  <c r="F90"/>
  <c r="G90"/>
  <c r="B90"/>
  <c r="C85"/>
  <c r="D85"/>
  <c r="E85"/>
  <c r="F85"/>
  <c r="G85"/>
  <c r="B85"/>
  <c r="C78"/>
  <c r="D78"/>
  <c r="E78"/>
  <c r="F78"/>
  <c r="G78"/>
  <c r="B78"/>
  <c r="C73"/>
  <c r="D73"/>
  <c r="E73"/>
  <c r="F73"/>
  <c r="G73"/>
  <c r="B73"/>
  <c r="C68"/>
  <c r="D68"/>
  <c r="E68"/>
  <c r="F68"/>
  <c r="G68"/>
  <c r="B68"/>
  <c r="C53"/>
  <c r="D53"/>
  <c r="E53"/>
  <c r="F53"/>
  <c r="G53"/>
  <c r="B53"/>
  <c r="C48"/>
  <c r="D48"/>
  <c r="E48"/>
  <c r="F48"/>
  <c r="G48"/>
  <c r="B48"/>
  <c r="C40"/>
  <c r="D40"/>
  <c r="E40"/>
  <c r="F40"/>
  <c r="G40"/>
  <c r="B40"/>
  <c r="C35"/>
  <c r="D35"/>
  <c r="E35"/>
  <c r="F35"/>
  <c r="G35"/>
  <c r="B35"/>
  <c r="C29"/>
  <c r="D29"/>
  <c r="E29"/>
  <c r="F29"/>
  <c r="G29"/>
  <c r="B29"/>
  <c r="C25"/>
  <c r="D25"/>
  <c r="E25"/>
  <c r="F25"/>
  <c r="G25"/>
  <c r="B25"/>
  <c r="C11"/>
  <c r="D11"/>
  <c r="E11"/>
  <c r="F11"/>
  <c r="G11"/>
  <c r="B11"/>
  <c r="K19" i="21"/>
  <c r="J57"/>
  <c r="J56"/>
  <c r="J55"/>
  <c r="K51"/>
  <c r="K46"/>
  <c r="K45"/>
  <c r="J42"/>
  <c r="J41"/>
  <c r="J38"/>
  <c r="J37"/>
  <c r="J33"/>
  <c r="J30"/>
  <c r="J29"/>
  <c r="J26"/>
  <c r="J25"/>
  <c r="J19"/>
  <c r="I16"/>
  <c r="I13"/>
  <c r="I12"/>
  <c r="F61"/>
  <c r="C61"/>
  <c r="B61"/>
  <c r="D61"/>
  <c r="I54"/>
  <c r="I50"/>
  <c r="F40"/>
  <c r="B40"/>
  <c r="D40"/>
  <c r="C40"/>
  <c r="F36"/>
  <c r="D36"/>
  <c r="G36"/>
  <c r="C36"/>
  <c r="B36"/>
  <c r="F28"/>
  <c r="B28"/>
  <c r="D28"/>
  <c r="C28"/>
  <c r="F24"/>
  <c r="D24"/>
  <c r="G24"/>
  <c r="C24"/>
  <c r="B24"/>
  <c r="D11"/>
  <c r="C11"/>
  <c r="G11"/>
  <c r="F11"/>
  <c r="B11"/>
  <c r="J49" i="20"/>
  <c r="J48"/>
  <c r="J47"/>
  <c r="J44"/>
  <c r="J43"/>
  <c r="J42"/>
  <c r="K39"/>
  <c r="K38"/>
  <c r="K37"/>
  <c r="J34"/>
  <c r="J33"/>
  <c r="J32"/>
  <c r="I29"/>
  <c r="I28"/>
  <c r="J25"/>
  <c r="J24"/>
  <c r="K21"/>
  <c r="K20"/>
  <c r="J17"/>
  <c r="J16"/>
  <c r="I13"/>
  <c r="I12"/>
  <c r="D75"/>
  <c r="C75"/>
  <c r="F75"/>
  <c r="E75"/>
  <c r="B75"/>
  <c r="F71"/>
  <c r="E71"/>
  <c r="G71"/>
  <c r="B71"/>
  <c r="D71"/>
  <c r="C71"/>
  <c r="D65"/>
  <c r="C65"/>
  <c r="F65"/>
  <c r="E65"/>
  <c r="B65"/>
  <c r="F61"/>
  <c r="E61"/>
  <c r="G61"/>
  <c r="B61"/>
  <c r="D61"/>
  <c r="C61"/>
  <c r="F56"/>
  <c r="E56"/>
  <c r="G56"/>
  <c r="B56"/>
  <c r="D56"/>
  <c r="C56"/>
  <c r="F51"/>
  <c r="E51"/>
  <c r="G51"/>
  <c r="B51"/>
  <c r="D51"/>
  <c r="C51"/>
  <c r="F46"/>
  <c r="E46"/>
  <c r="G46"/>
  <c r="B46"/>
  <c r="D46"/>
  <c r="C46"/>
  <c r="F41"/>
  <c r="E41"/>
  <c r="G41"/>
  <c r="B41"/>
  <c r="D41"/>
  <c r="C41"/>
  <c r="I41" s="1"/>
  <c r="F36"/>
  <c r="E36"/>
  <c r="G36"/>
  <c r="B36"/>
  <c r="D36"/>
  <c r="C36"/>
  <c r="F31"/>
  <c r="E31"/>
  <c r="G31"/>
  <c r="B31"/>
  <c r="D31"/>
  <c r="C31"/>
  <c r="D27"/>
  <c r="C27"/>
  <c r="F27"/>
  <c r="E27"/>
  <c r="B27"/>
  <c r="F23"/>
  <c r="E23"/>
  <c r="G23"/>
  <c r="B23"/>
  <c r="D23"/>
  <c r="C23"/>
  <c r="D19"/>
  <c r="G19"/>
  <c r="F19"/>
  <c r="E19"/>
  <c r="B19"/>
  <c r="F15"/>
  <c r="E15"/>
  <c r="G15"/>
  <c r="B15"/>
  <c r="D15"/>
  <c r="C15"/>
  <c r="D11"/>
  <c r="C11"/>
  <c r="F11"/>
  <c r="E11"/>
  <c r="B11"/>
  <c r="B9" i="13"/>
  <c r="I32" i="21"/>
  <c r="G28"/>
  <c r="G40"/>
  <c r="G61"/>
  <c r="G11" i="20"/>
  <c r="G27"/>
  <c r="G65"/>
  <c r="G75"/>
  <c r="C19"/>
  <c r="B19" i="26"/>
  <c r="B21"/>
  <c r="B20"/>
  <c r="B18"/>
  <c r="C142" i="10"/>
  <c r="D142"/>
  <c r="E142"/>
  <c r="F142"/>
  <c r="G142"/>
  <c r="B142"/>
  <c r="C136"/>
  <c r="D136"/>
  <c r="E136"/>
  <c r="F136"/>
  <c r="G136"/>
  <c r="B136"/>
  <c r="C126"/>
  <c r="D126"/>
  <c r="E126"/>
  <c r="F126"/>
  <c r="G126"/>
  <c r="B126"/>
  <c r="C120"/>
  <c r="D120"/>
  <c r="E120"/>
  <c r="F120"/>
  <c r="G120"/>
  <c r="B120"/>
  <c r="C108"/>
  <c r="D108"/>
  <c r="E108"/>
  <c r="F108"/>
  <c r="G108"/>
  <c r="B108"/>
  <c r="C99"/>
  <c r="D99"/>
  <c r="E99"/>
  <c r="F99"/>
  <c r="G99"/>
  <c r="B99"/>
  <c r="C89"/>
  <c r="D89"/>
  <c r="E89"/>
  <c r="F89"/>
  <c r="G89"/>
  <c r="B89"/>
  <c r="C79"/>
  <c r="D79"/>
  <c r="E79"/>
  <c r="F79"/>
  <c r="G79"/>
  <c r="B79"/>
  <c r="I81"/>
  <c r="J81"/>
  <c r="K81"/>
  <c r="L81"/>
  <c r="I82"/>
  <c r="J82"/>
  <c r="K82"/>
  <c r="L82"/>
  <c r="I83"/>
  <c r="J83"/>
  <c r="K83"/>
  <c r="L83"/>
  <c r="I84"/>
  <c r="J84"/>
  <c r="K84"/>
  <c r="L84"/>
  <c r="I85"/>
  <c r="J85"/>
  <c r="K85"/>
  <c r="L85"/>
  <c r="I86"/>
  <c r="J86"/>
  <c r="K86"/>
  <c r="L86"/>
  <c r="I87"/>
  <c r="J87"/>
  <c r="K87"/>
  <c r="L87"/>
  <c r="C68"/>
  <c r="D68"/>
  <c r="E68"/>
  <c r="F68"/>
  <c r="G68"/>
  <c r="B68"/>
  <c r="C58"/>
  <c r="D58"/>
  <c r="E58"/>
  <c r="F58"/>
  <c r="G58"/>
  <c r="B58"/>
  <c r="C49"/>
  <c r="D49"/>
  <c r="E49"/>
  <c r="F49"/>
  <c r="G49"/>
  <c r="B49"/>
  <c r="C41"/>
  <c r="D41"/>
  <c r="E41"/>
  <c r="F41"/>
  <c r="G41"/>
  <c r="B41"/>
  <c r="C31"/>
  <c r="D31"/>
  <c r="E31"/>
  <c r="F31"/>
  <c r="G31"/>
  <c r="B31"/>
  <c r="C27"/>
  <c r="D27"/>
  <c r="E27"/>
  <c r="F27"/>
  <c r="G27"/>
  <c r="B27"/>
  <c r="C11"/>
  <c r="D11"/>
  <c r="D9" s="1"/>
  <c r="E11"/>
  <c r="F11"/>
  <c r="G11"/>
  <c r="G9" s="1"/>
  <c r="B11"/>
  <c r="B9" s="1"/>
  <c r="I12" i="11"/>
  <c r="C11"/>
  <c r="D11"/>
  <c r="E11"/>
  <c r="I11" s="1"/>
  <c r="F11"/>
  <c r="B11"/>
  <c r="K55"/>
  <c r="J49"/>
  <c r="I46"/>
  <c r="I43"/>
  <c r="I40"/>
  <c r="I37"/>
  <c r="I34"/>
  <c r="I31"/>
  <c r="I28"/>
  <c r="I27"/>
  <c r="I24"/>
  <c r="I21"/>
  <c r="I18"/>
  <c r="I17"/>
  <c r="I14"/>
  <c r="I13"/>
  <c r="J13"/>
  <c r="K13"/>
  <c r="L13"/>
  <c r="K14"/>
  <c r="L14"/>
  <c r="D330" i="9"/>
  <c r="B330" s="1"/>
  <c r="G54" i="11"/>
  <c r="F54"/>
  <c r="E54"/>
  <c r="D54"/>
  <c r="C54"/>
  <c r="B54"/>
  <c r="D248" i="9"/>
  <c r="B248" s="1"/>
  <c r="G51" i="11"/>
  <c r="F51"/>
  <c r="E51"/>
  <c r="D51"/>
  <c r="C51"/>
  <c r="B51"/>
  <c r="D393" i="9"/>
  <c r="F48" i="11"/>
  <c r="E48"/>
  <c r="D48"/>
  <c r="C48"/>
  <c r="B48"/>
  <c r="D327" i="9"/>
  <c r="F45" i="11"/>
  <c r="E45"/>
  <c r="D45"/>
  <c r="C45"/>
  <c r="B45"/>
  <c r="D247" i="9"/>
  <c r="F42" i="11"/>
  <c r="E42"/>
  <c r="D42"/>
  <c r="C42"/>
  <c r="B42"/>
  <c r="G39"/>
  <c r="F39"/>
  <c r="E39"/>
  <c r="D39"/>
  <c r="C39"/>
  <c r="B39"/>
  <c r="G36"/>
  <c r="F36"/>
  <c r="E36"/>
  <c r="D36"/>
  <c r="C36"/>
  <c r="B36"/>
  <c r="G33"/>
  <c r="F33"/>
  <c r="E33"/>
  <c r="D33"/>
  <c r="C33"/>
  <c r="B33"/>
  <c r="D245" i="9"/>
  <c r="B245" s="1"/>
  <c r="G30" i="11"/>
  <c r="F30"/>
  <c r="E30"/>
  <c r="D30"/>
  <c r="C30"/>
  <c r="B30"/>
  <c r="D346" i="9"/>
  <c r="G26" i="11"/>
  <c r="F26"/>
  <c r="E26"/>
  <c r="D26"/>
  <c r="C26"/>
  <c r="B26"/>
  <c r="D328" i="9"/>
  <c r="F23" i="11"/>
  <c r="E23"/>
  <c r="D23"/>
  <c r="C23"/>
  <c r="B23"/>
  <c r="G20"/>
  <c r="F20"/>
  <c r="E20"/>
  <c r="D20"/>
  <c r="C20"/>
  <c r="B20"/>
  <c r="D89" i="9"/>
  <c r="D79"/>
  <c r="B79" s="1"/>
  <c r="F16" i="11"/>
  <c r="E16"/>
  <c r="D16"/>
  <c r="C16"/>
  <c r="B16"/>
  <c r="D78" i="9"/>
  <c r="B78" s="1"/>
  <c r="G11" i="11"/>
  <c r="D76" i="9"/>
  <c r="C47" i="12"/>
  <c r="D47"/>
  <c r="F47"/>
  <c r="G47"/>
  <c r="H47"/>
  <c r="K47" s="1"/>
  <c r="B47"/>
  <c r="C44"/>
  <c r="D44"/>
  <c r="F44"/>
  <c r="G44"/>
  <c r="H44"/>
  <c r="K44" s="1"/>
  <c r="B44"/>
  <c r="C41"/>
  <c r="D41"/>
  <c r="F41"/>
  <c r="G41"/>
  <c r="H41"/>
  <c r="K41" s="1"/>
  <c r="B41"/>
  <c r="C37"/>
  <c r="D37"/>
  <c r="F37"/>
  <c r="G37"/>
  <c r="H37"/>
  <c r="K37" s="1"/>
  <c r="B37"/>
  <c r="C34"/>
  <c r="D34"/>
  <c r="F34"/>
  <c r="G34"/>
  <c r="H34"/>
  <c r="K34" s="1"/>
  <c r="B34"/>
  <c r="C31"/>
  <c r="D31"/>
  <c r="F31"/>
  <c r="G31"/>
  <c r="H31"/>
  <c r="K31" s="1"/>
  <c r="B31"/>
  <c r="C28"/>
  <c r="D28"/>
  <c r="F28"/>
  <c r="G28"/>
  <c r="H28"/>
  <c r="K28" s="1"/>
  <c r="B28"/>
  <c r="C24"/>
  <c r="D24"/>
  <c r="F24"/>
  <c r="G24"/>
  <c r="H24"/>
  <c r="K24" s="1"/>
  <c r="B24"/>
  <c r="C21"/>
  <c r="D21"/>
  <c r="F21"/>
  <c r="G21"/>
  <c r="H21"/>
  <c r="K21" s="1"/>
  <c r="B21"/>
  <c r="C17"/>
  <c r="D17"/>
  <c r="F17"/>
  <c r="G17"/>
  <c r="H17"/>
  <c r="K17" s="1"/>
  <c r="B17"/>
  <c r="C14"/>
  <c r="D14"/>
  <c r="F14"/>
  <c r="G14"/>
  <c r="H14"/>
  <c r="K14" s="1"/>
  <c r="B14"/>
  <c r="C11"/>
  <c r="C9" s="1"/>
  <c r="D11"/>
  <c r="F11"/>
  <c r="G11"/>
  <c r="H11"/>
  <c r="K11" s="1"/>
  <c r="B11"/>
  <c r="J41" i="14"/>
  <c r="K41"/>
  <c r="L41"/>
  <c r="M41"/>
  <c r="J29"/>
  <c r="K29"/>
  <c r="L29"/>
  <c r="M29"/>
  <c r="L28"/>
  <c r="L25"/>
  <c r="K22"/>
  <c r="K21"/>
  <c r="K18"/>
  <c r="J15"/>
  <c r="J14"/>
  <c r="J13"/>
  <c r="J12"/>
  <c r="B11"/>
  <c r="H11"/>
  <c r="H67"/>
  <c r="G67"/>
  <c r="F67"/>
  <c r="E67"/>
  <c r="C67"/>
  <c r="B67"/>
  <c r="H64"/>
  <c r="G64"/>
  <c r="F64"/>
  <c r="E64"/>
  <c r="C64"/>
  <c r="B64"/>
  <c r="K64" s="1"/>
  <c r="H59"/>
  <c r="G59"/>
  <c r="F59"/>
  <c r="E59"/>
  <c r="C59"/>
  <c r="B59"/>
  <c r="H55"/>
  <c r="G55"/>
  <c r="F55"/>
  <c r="E55"/>
  <c r="C55"/>
  <c r="B55"/>
  <c r="H51"/>
  <c r="G51"/>
  <c r="F51"/>
  <c r="E51"/>
  <c r="C51"/>
  <c r="B51"/>
  <c r="H47"/>
  <c r="G47"/>
  <c r="F47"/>
  <c r="E47"/>
  <c r="C47"/>
  <c r="B47"/>
  <c r="H43"/>
  <c r="G43"/>
  <c r="F43"/>
  <c r="E43"/>
  <c r="C43"/>
  <c r="B43"/>
  <c r="H39"/>
  <c r="G39"/>
  <c r="F39"/>
  <c r="E39"/>
  <c r="C39"/>
  <c r="B39"/>
  <c r="H35"/>
  <c r="G35"/>
  <c r="F35"/>
  <c r="E35"/>
  <c r="C35"/>
  <c r="B35"/>
  <c r="H31"/>
  <c r="G31"/>
  <c r="F31"/>
  <c r="E31"/>
  <c r="C31"/>
  <c r="B31"/>
  <c r="H27"/>
  <c r="G27"/>
  <c r="F27"/>
  <c r="E27"/>
  <c r="C27"/>
  <c r="B27"/>
  <c r="H24"/>
  <c r="G24"/>
  <c r="F24"/>
  <c r="E24"/>
  <c r="C24"/>
  <c r="B24"/>
  <c r="H20"/>
  <c r="G20"/>
  <c r="F20"/>
  <c r="E20"/>
  <c r="C20"/>
  <c r="B20"/>
  <c r="H17"/>
  <c r="G17"/>
  <c r="F17"/>
  <c r="E17"/>
  <c r="C17"/>
  <c r="B17"/>
  <c r="G11"/>
  <c r="F11"/>
  <c r="E11"/>
  <c r="C11"/>
  <c r="J11" s="1"/>
  <c r="C54" i="15"/>
  <c r="D54"/>
  <c r="F54"/>
  <c r="G54"/>
  <c r="M54" s="1"/>
  <c r="H54"/>
  <c r="B54"/>
  <c r="B45"/>
  <c r="C113"/>
  <c r="D113"/>
  <c r="F113"/>
  <c r="G113"/>
  <c r="H113"/>
  <c r="K113" s="1"/>
  <c r="B113"/>
  <c r="C108"/>
  <c r="D108"/>
  <c r="F108"/>
  <c r="G108"/>
  <c r="H108"/>
  <c r="K108" s="1"/>
  <c r="B108"/>
  <c r="H101"/>
  <c r="K101" s="1"/>
  <c r="C101"/>
  <c r="D101"/>
  <c r="F101"/>
  <c r="G101"/>
  <c r="M101" s="1"/>
  <c r="B101"/>
  <c r="C97"/>
  <c r="D97"/>
  <c r="F97"/>
  <c r="G97"/>
  <c r="H97"/>
  <c r="K97" s="1"/>
  <c r="B97"/>
  <c r="C87"/>
  <c r="D87"/>
  <c r="F87"/>
  <c r="G87"/>
  <c r="H87"/>
  <c r="K87" s="1"/>
  <c r="B87"/>
  <c r="C79"/>
  <c r="D79"/>
  <c r="F79"/>
  <c r="G79"/>
  <c r="H79"/>
  <c r="K79" s="1"/>
  <c r="B79"/>
  <c r="C71"/>
  <c r="D71"/>
  <c r="F71"/>
  <c r="G71"/>
  <c r="H71"/>
  <c r="K71" s="1"/>
  <c r="B71"/>
  <c r="C63"/>
  <c r="D63"/>
  <c r="F63"/>
  <c r="G63"/>
  <c r="H63"/>
  <c r="K63" s="1"/>
  <c r="B63"/>
  <c r="C45"/>
  <c r="D45"/>
  <c r="F45"/>
  <c r="G45"/>
  <c r="H45"/>
  <c r="K45" s="1"/>
  <c r="C38"/>
  <c r="D38"/>
  <c r="F38"/>
  <c r="G38"/>
  <c r="M38" s="1"/>
  <c r="H38"/>
  <c r="B38"/>
  <c r="C31"/>
  <c r="D31"/>
  <c r="F31"/>
  <c r="G31"/>
  <c r="H31"/>
  <c r="B31"/>
  <c r="H22"/>
  <c r="B22"/>
  <c r="C22"/>
  <c r="D22"/>
  <c r="F22"/>
  <c r="G22"/>
  <c r="C19"/>
  <c r="D19"/>
  <c r="F19"/>
  <c r="G19"/>
  <c r="H19"/>
  <c r="B19"/>
  <c r="C11"/>
  <c r="D11"/>
  <c r="F11"/>
  <c r="G11"/>
  <c r="M11" s="1"/>
  <c r="H11"/>
  <c r="B11"/>
  <c r="B15" i="22"/>
  <c r="B11"/>
  <c r="J77" i="19"/>
  <c r="J76"/>
  <c r="I73"/>
  <c r="I72"/>
  <c r="I69"/>
  <c r="I68"/>
  <c r="I67"/>
  <c r="I66"/>
  <c r="I63"/>
  <c r="I62"/>
  <c r="I59"/>
  <c r="J59"/>
  <c r="K59"/>
  <c r="J58"/>
  <c r="J57"/>
  <c r="J56"/>
  <c r="I53"/>
  <c r="I52"/>
  <c r="J49"/>
  <c r="J48"/>
  <c r="I45"/>
  <c r="I44"/>
  <c r="I43"/>
  <c r="J40"/>
  <c r="J39"/>
  <c r="J38"/>
  <c r="J35"/>
  <c r="J34"/>
  <c r="I31"/>
  <c r="I30"/>
  <c r="I29"/>
  <c r="I28"/>
  <c r="I25"/>
  <c r="I24"/>
  <c r="I21"/>
  <c r="I20"/>
  <c r="I19"/>
  <c r="I16"/>
  <c r="I13"/>
  <c r="I12"/>
  <c r="K40" i="16"/>
  <c r="K39"/>
  <c r="K38"/>
  <c r="K34"/>
  <c r="K33"/>
  <c r="K32"/>
  <c r="K31"/>
  <c r="K30"/>
  <c r="K27"/>
  <c r="K26"/>
  <c r="K25"/>
  <c r="K23"/>
  <c r="K20"/>
  <c r="K17"/>
  <c r="K16"/>
  <c r="K15"/>
  <c r="I15"/>
  <c r="K24"/>
  <c r="K14"/>
  <c r="K13"/>
  <c r="K12"/>
  <c r="J114"/>
  <c r="J113"/>
  <c r="J112"/>
  <c r="J109"/>
  <c r="J108"/>
  <c r="J107"/>
  <c r="J103"/>
  <c r="J102"/>
  <c r="J101"/>
  <c r="J100"/>
  <c r="J97"/>
  <c r="J96"/>
  <c r="J93"/>
  <c r="J92"/>
  <c r="J91"/>
  <c r="J90"/>
  <c r="J89"/>
  <c r="J88"/>
  <c r="J87"/>
  <c r="J86"/>
  <c r="J83"/>
  <c r="J82"/>
  <c r="J81"/>
  <c r="J80"/>
  <c r="J79"/>
  <c r="J78"/>
  <c r="J75"/>
  <c r="J74"/>
  <c r="J73"/>
  <c r="J72"/>
  <c r="J71"/>
  <c r="J70"/>
  <c r="J67"/>
  <c r="J66"/>
  <c r="J65"/>
  <c r="J64"/>
  <c r="J63"/>
  <c r="J62"/>
  <c r="J59"/>
  <c r="J58"/>
  <c r="J57"/>
  <c r="J56"/>
  <c r="J55"/>
  <c r="J54"/>
  <c r="J53"/>
  <c r="J50"/>
  <c r="J49"/>
  <c r="J48"/>
  <c r="J47"/>
  <c r="J46"/>
  <c r="J45"/>
  <c r="J41"/>
  <c r="J40"/>
  <c r="J39"/>
  <c r="J38"/>
  <c r="J37"/>
  <c r="J34"/>
  <c r="J33"/>
  <c r="J32"/>
  <c r="J31"/>
  <c r="J30"/>
  <c r="J27"/>
  <c r="J26"/>
  <c r="J25"/>
  <c r="J23"/>
  <c r="J20"/>
  <c r="J17"/>
  <c r="J16"/>
  <c r="J15"/>
  <c r="J24"/>
  <c r="J14"/>
  <c r="J13"/>
  <c r="J12"/>
  <c r="I114"/>
  <c r="I113"/>
  <c r="I112"/>
  <c r="I109"/>
  <c r="I108"/>
  <c r="I107"/>
  <c r="I103"/>
  <c r="I102"/>
  <c r="I101"/>
  <c r="I100"/>
  <c r="I97"/>
  <c r="I96"/>
  <c r="I93"/>
  <c r="K93"/>
  <c r="I92"/>
  <c r="I91"/>
  <c r="I90"/>
  <c r="I89"/>
  <c r="I88"/>
  <c r="I87"/>
  <c r="I86"/>
  <c r="I83"/>
  <c r="I82"/>
  <c r="I81"/>
  <c r="I80"/>
  <c r="I79"/>
  <c r="I78"/>
  <c r="I75"/>
  <c r="I74"/>
  <c r="I73"/>
  <c r="I72"/>
  <c r="I71"/>
  <c r="I70"/>
  <c r="I67"/>
  <c r="I66"/>
  <c r="I65"/>
  <c r="I64"/>
  <c r="I63"/>
  <c r="I62"/>
  <c r="I59"/>
  <c r="I58"/>
  <c r="I57"/>
  <c r="I56"/>
  <c r="I55"/>
  <c r="I54"/>
  <c r="I53"/>
  <c r="I50"/>
  <c r="I49"/>
  <c r="I48"/>
  <c r="I47"/>
  <c r="I46"/>
  <c r="I45"/>
  <c r="I41"/>
  <c r="I40"/>
  <c r="I39"/>
  <c r="I38"/>
  <c r="I37"/>
  <c r="I34"/>
  <c r="I33"/>
  <c r="I32"/>
  <c r="I31"/>
  <c r="I30"/>
  <c r="I27"/>
  <c r="I26"/>
  <c r="I25"/>
  <c r="I23"/>
  <c r="I20"/>
  <c r="I17"/>
  <c r="I16"/>
  <c r="I24"/>
  <c r="I14"/>
  <c r="I13"/>
  <c r="I12"/>
  <c r="B111"/>
  <c r="C111"/>
  <c r="D111"/>
  <c r="E111"/>
  <c r="F111"/>
  <c r="G111"/>
  <c r="C106"/>
  <c r="D106"/>
  <c r="E106"/>
  <c r="F106"/>
  <c r="G106"/>
  <c r="B106"/>
  <c r="C99"/>
  <c r="D99"/>
  <c r="E99"/>
  <c r="F99"/>
  <c r="G99"/>
  <c r="B99"/>
  <c r="C95"/>
  <c r="D95"/>
  <c r="E95"/>
  <c r="F95"/>
  <c r="G95"/>
  <c r="B95"/>
  <c r="C85"/>
  <c r="D85"/>
  <c r="E85"/>
  <c r="F85"/>
  <c r="G85"/>
  <c r="B85"/>
  <c r="C77"/>
  <c r="D77"/>
  <c r="E77"/>
  <c r="F77"/>
  <c r="G77"/>
  <c r="B77"/>
  <c r="C69"/>
  <c r="D69"/>
  <c r="E69"/>
  <c r="F69"/>
  <c r="G69"/>
  <c r="B69"/>
  <c r="C61"/>
  <c r="D61"/>
  <c r="E61"/>
  <c r="F61"/>
  <c r="G61"/>
  <c r="B61"/>
  <c r="C52"/>
  <c r="D52"/>
  <c r="E52"/>
  <c r="F52"/>
  <c r="G52"/>
  <c r="B52"/>
  <c r="C44"/>
  <c r="D44"/>
  <c r="E44"/>
  <c r="F44"/>
  <c r="G44"/>
  <c r="B44"/>
  <c r="C36"/>
  <c r="D36"/>
  <c r="E36"/>
  <c r="F36"/>
  <c r="G36"/>
  <c r="B36"/>
  <c r="C29"/>
  <c r="D29"/>
  <c r="E29"/>
  <c r="F29"/>
  <c r="G29"/>
  <c r="B29"/>
  <c r="C22"/>
  <c r="D22"/>
  <c r="E22"/>
  <c r="F22"/>
  <c r="G22"/>
  <c r="B22"/>
  <c r="C19"/>
  <c r="D19"/>
  <c r="E19"/>
  <c r="F19"/>
  <c r="G19"/>
  <c r="B19"/>
  <c r="C11"/>
  <c r="D11"/>
  <c r="E11"/>
  <c r="F11"/>
  <c r="G11"/>
  <c r="B11"/>
  <c r="K12" i="19"/>
  <c r="J13"/>
  <c r="J12"/>
  <c r="F30" i="22"/>
  <c r="B19" i="25"/>
  <c r="B17"/>
  <c r="B18"/>
  <c r="G98" i="24"/>
  <c r="G94"/>
  <c r="G87"/>
  <c r="G83"/>
  <c r="G75"/>
  <c r="G67"/>
  <c r="G59"/>
  <c r="G52"/>
  <c r="G45"/>
  <c r="G40"/>
  <c r="G33"/>
  <c r="G27"/>
  <c r="G21"/>
  <c r="G18"/>
  <c r="F98"/>
  <c r="D98"/>
  <c r="C98"/>
  <c r="B98"/>
  <c r="F94"/>
  <c r="D94"/>
  <c r="C94"/>
  <c r="B94"/>
  <c r="F87"/>
  <c r="D87"/>
  <c r="C87"/>
  <c r="B87"/>
  <c r="F83"/>
  <c r="D83"/>
  <c r="C83"/>
  <c r="B83"/>
  <c r="F75"/>
  <c r="D75"/>
  <c r="C75"/>
  <c r="B75"/>
  <c r="F67"/>
  <c r="D67"/>
  <c r="C67"/>
  <c r="B67"/>
  <c r="F59"/>
  <c r="D59"/>
  <c r="C59"/>
  <c r="B59"/>
  <c r="F52"/>
  <c r="D52"/>
  <c r="C52"/>
  <c r="B52"/>
  <c r="F45"/>
  <c r="D45"/>
  <c r="C45"/>
  <c r="B45"/>
  <c r="F40"/>
  <c r="D40"/>
  <c r="C40"/>
  <c r="B40"/>
  <c r="F33"/>
  <c r="D33"/>
  <c r="C33"/>
  <c r="B33"/>
  <c r="F27"/>
  <c r="D27"/>
  <c r="C27"/>
  <c r="B27"/>
  <c r="F21"/>
  <c r="D21"/>
  <c r="C21"/>
  <c r="B21"/>
  <c r="F18"/>
  <c r="D18"/>
  <c r="C18"/>
  <c r="B18"/>
  <c r="G58" i="22"/>
  <c r="F58"/>
  <c r="D58"/>
  <c r="C58"/>
  <c r="B58"/>
  <c r="I58" s="1"/>
  <c r="G55"/>
  <c r="F55"/>
  <c r="D55"/>
  <c r="C55"/>
  <c r="B55"/>
  <c r="I55" s="1"/>
  <c r="G50"/>
  <c r="F50"/>
  <c r="D50"/>
  <c r="C50"/>
  <c r="B50"/>
  <c r="I50" s="1"/>
  <c r="G46"/>
  <c r="F46"/>
  <c r="K46" s="1"/>
  <c r="D46"/>
  <c r="C46"/>
  <c r="B46"/>
  <c r="G42"/>
  <c r="F42"/>
  <c r="D42"/>
  <c r="C42"/>
  <c r="B42"/>
  <c r="I42" s="1"/>
  <c r="G38"/>
  <c r="F38"/>
  <c r="D38"/>
  <c r="C38"/>
  <c r="B38"/>
  <c r="I38" s="1"/>
  <c r="G34"/>
  <c r="F34"/>
  <c r="D34"/>
  <c r="C34"/>
  <c r="B34"/>
  <c r="I34" s="1"/>
  <c r="G30"/>
  <c r="J30" s="1"/>
  <c r="D30"/>
  <c r="C30"/>
  <c r="B30"/>
  <c r="I30" s="1"/>
  <c r="G26"/>
  <c r="F26"/>
  <c r="D26"/>
  <c r="C26"/>
  <c r="B26"/>
  <c r="I26" s="1"/>
  <c r="G22"/>
  <c r="F22"/>
  <c r="D22"/>
  <c r="C22"/>
  <c r="B22"/>
  <c r="I22" s="1"/>
  <c r="G18"/>
  <c r="F18"/>
  <c r="D18"/>
  <c r="C18"/>
  <c r="B18"/>
  <c r="I18" s="1"/>
  <c r="G15"/>
  <c r="F15"/>
  <c r="D15"/>
  <c r="C15"/>
  <c r="I64" i="21"/>
  <c r="J50"/>
  <c r="K36"/>
  <c r="J75" i="20"/>
  <c r="G75" i="19"/>
  <c r="F75"/>
  <c r="E75"/>
  <c r="D75"/>
  <c r="C75"/>
  <c r="B75"/>
  <c r="G71"/>
  <c r="F71"/>
  <c r="E71"/>
  <c r="D71"/>
  <c r="C71"/>
  <c r="B71"/>
  <c r="G65"/>
  <c r="F65"/>
  <c r="E65"/>
  <c r="D65"/>
  <c r="C65"/>
  <c r="B65"/>
  <c r="G61"/>
  <c r="F61"/>
  <c r="E61"/>
  <c r="D61"/>
  <c r="C61"/>
  <c r="B61"/>
  <c r="G55"/>
  <c r="F55"/>
  <c r="E55"/>
  <c r="D55"/>
  <c r="C55"/>
  <c r="B55"/>
  <c r="G51"/>
  <c r="F51"/>
  <c r="E51"/>
  <c r="D51"/>
  <c r="C51"/>
  <c r="B51"/>
  <c r="G47"/>
  <c r="F47"/>
  <c r="E47"/>
  <c r="D47"/>
  <c r="C47"/>
  <c r="B47"/>
  <c r="G42"/>
  <c r="F42"/>
  <c r="E42"/>
  <c r="D42"/>
  <c r="C42"/>
  <c r="B42"/>
  <c r="G37"/>
  <c r="F37"/>
  <c r="E37"/>
  <c r="D37"/>
  <c r="C37"/>
  <c r="B37"/>
  <c r="G33"/>
  <c r="F33"/>
  <c r="E33"/>
  <c r="D33"/>
  <c r="C33"/>
  <c r="B33"/>
  <c r="G27"/>
  <c r="F27"/>
  <c r="E27"/>
  <c r="D27"/>
  <c r="C27"/>
  <c r="B27"/>
  <c r="G23"/>
  <c r="F23"/>
  <c r="E23"/>
  <c r="D23"/>
  <c r="C23"/>
  <c r="B23"/>
  <c r="G18"/>
  <c r="F18"/>
  <c r="E18"/>
  <c r="D18"/>
  <c r="C18"/>
  <c r="B18"/>
  <c r="I78" i="18"/>
  <c r="K48"/>
  <c r="I48"/>
  <c r="G137" i="17"/>
  <c r="G131"/>
  <c r="G121"/>
  <c r="G115"/>
  <c r="G103"/>
  <c r="G93"/>
  <c r="G83"/>
  <c r="G74"/>
  <c r="G63"/>
  <c r="G53"/>
  <c r="G44"/>
  <c r="G36"/>
  <c r="G26"/>
  <c r="G21"/>
  <c r="F137"/>
  <c r="E137"/>
  <c r="D137"/>
  <c r="C137"/>
  <c r="B137"/>
  <c r="F131"/>
  <c r="E131"/>
  <c r="D131"/>
  <c r="C131"/>
  <c r="B131"/>
  <c r="F121"/>
  <c r="E121"/>
  <c r="D121"/>
  <c r="C121"/>
  <c r="B121"/>
  <c r="F115"/>
  <c r="E115"/>
  <c r="D115"/>
  <c r="C115"/>
  <c r="B115"/>
  <c r="F103"/>
  <c r="E103"/>
  <c r="D103"/>
  <c r="C103"/>
  <c r="B103"/>
  <c r="F93"/>
  <c r="E93"/>
  <c r="D93"/>
  <c r="C93"/>
  <c r="B93"/>
  <c r="F83"/>
  <c r="E83"/>
  <c r="D83"/>
  <c r="C83"/>
  <c r="B83"/>
  <c r="F74"/>
  <c r="E74"/>
  <c r="D74"/>
  <c r="C74"/>
  <c r="B74"/>
  <c r="F63"/>
  <c r="E63"/>
  <c r="D63"/>
  <c r="C63"/>
  <c r="B63"/>
  <c r="F53"/>
  <c r="E53"/>
  <c r="D53"/>
  <c r="C53"/>
  <c r="B53"/>
  <c r="F44"/>
  <c r="E44"/>
  <c r="D44"/>
  <c r="C44"/>
  <c r="B44"/>
  <c r="F36"/>
  <c r="E36"/>
  <c r="D36"/>
  <c r="C36"/>
  <c r="B36"/>
  <c r="F26"/>
  <c r="E26"/>
  <c r="D26"/>
  <c r="C26"/>
  <c r="B26"/>
  <c r="F21"/>
  <c r="E21"/>
  <c r="D21"/>
  <c r="C21"/>
  <c r="B21"/>
  <c r="J43" i="14"/>
  <c r="J126" i="10"/>
  <c r="L68"/>
  <c r="K27"/>
  <c r="K58"/>
  <c r="K99"/>
  <c r="J27"/>
  <c r="J58"/>
  <c r="J99"/>
  <c r="I12"/>
  <c r="J12"/>
  <c r="K12"/>
  <c r="L12"/>
  <c r="I13"/>
  <c r="J13"/>
  <c r="K13"/>
  <c r="L13"/>
  <c r="I14"/>
  <c r="J14"/>
  <c r="K14"/>
  <c r="L14"/>
  <c r="I15"/>
  <c r="J15"/>
  <c r="K15"/>
  <c r="L15"/>
  <c r="I16"/>
  <c r="J16"/>
  <c r="K16"/>
  <c r="L16"/>
  <c r="I17"/>
  <c r="J17"/>
  <c r="K17"/>
  <c r="L17"/>
  <c r="I18"/>
  <c r="J18"/>
  <c r="K18"/>
  <c r="L18"/>
  <c r="I19"/>
  <c r="J19"/>
  <c r="K19"/>
  <c r="L19"/>
  <c r="I20"/>
  <c r="J20"/>
  <c r="K20"/>
  <c r="L20"/>
  <c r="I21"/>
  <c r="J21"/>
  <c r="K21"/>
  <c r="L21"/>
  <c r="I22"/>
  <c r="J22"/>
  <c r="K22"/>
  <c r="L22"/>
  <c r="I23"/>
  <c r="J23"/>
  <c r="K23"/>
  <c r="L23"/>
  <c r="I24"/>
  <c r="J24"/>
  <c r="K24"/>
  <c r="L24"/>
  <c r="I25"/>
  <c r="J25"/>
  <c r="K25"/>
  <c r="L25"/>
  <c r="I27"/>
  <c r="L27"/>
  <c r="I28"/>
  <c r="J28"/>
  <c r="K28"/>
  <c r="L28"/>
  <c r="I29"/>
  <c r="J29"/>
  <c r="K29"/>
  <c r="L29"/>
  <c r="I31"/>
  <c r="L31"/>
  <c r="I32"/>
  <c r="J32"/>
  <c r="K32"/>
  <c r="L32"/>
  <c r="I33"/>
  <c r="J33"/>
  <c r="K33"/>
  <c r="L33"/>
  <c r="I34"/>
  <c r="J34"/>
  <c r="K34"/>
  <c r="L34"/>
  <c r="I35"/>
  <c r="J35"/>
  <c r="K35"/>
  <c r="L35"/>
  <c r="I36"/>
  <c r="J36"/>
  <c r="K36"/>
  <c r="L36"/>
  <c r="I37"/>
  <c r="J37"/>
  <c r="K37"/>
  <c r="L37"/>
  <c r="I38"/>
  <c r="J38"/>
  <c r="K38"/>
  <c r="L38"/>
  <c r="I39"/>
  <c r="J39"/>
  <c r="K39"/>
  <c r="L39"/>
  <c r="I42"/>
  <c r="J42"/>
  <c r="K42"/>
  <c r="L42"/>
  <c r="I43"/>
  <c r="J43"/>
  <c r="K43"/>
  <c r="L43"/>
  <c r="I44"/>
  <c r="J44"/>
  <c r="K44"/>
  <c r="L44"/>
  <c r="I45"/>
  <c r="J45"/>
  <c r="K45"/>
  <c r="L45"/>
  <c r="I46"/>
  <c r="J46"/>
  <c r="K46"/>
  <c r="L46"/>
  <c r="I47"/>
  <c r="J47"/>
  <c r="K47"/>
  <c r="L47"/>
  <c r="I50"/>
  <c r="J50"/>
  <c r="K50"/>
  <c r="L50"/>
  <c r="I52"/>
  <c r="J52"/>
  <c r="K52"/>
  <c r="L52"/>
  <c r="I53"/>
  <c r="J53"/>
  <c r="K53"/>
  <c r="L53"/>
  <c r="I54"/>
  <c r="J54"/>
  <c r="K54"/>
  <c r="L54"/>
  <c r="I55"/>
  <c r="J55"/>
  <c r="K55"/>
  <c r="L55"/>
  <c r="I56"/>
  <c r="J56"/>
  <c r="K56"/>
  <c r="L56"/>
  <c r="I58"/>
  <c r="L58"/>
  <c r="I59"/>
  <c r="J59"/>
  <c r="K59"/>
  <c r="L59"/>
  <c r="I60"/>
  <c r="J60"/>
  <c r="K60"/>
  <c r="L60"/>
  <c r="I61"/>
  <c r="J61"/>
  <c r="K61"/>
  <c r="L61"/>
  <c r="I62"/>
  <c r="J62"/>
  <c r="K62"/>
  <c r="L62"/>
  <c r="I63"/>
  <c r="J63"/>
  <c r="K63"/>
  <c r="L63"/>
  <c r="I64"/>
  <c r="J64"/>
  <c r="K64"/>
  <c r="L64"/>
  <c r="I65"/>
  <c r="J65"/>
  <c r="K65"/>
  <c r="L65"/>
  <c r="I66"/>
  <c r="J66"/>
  <c r="K66"/>
  <c r="L66"/>
  <c r="I68"/>
  <c r="I69"/>
  <c r="J69"/>
  <c r="K69"/>
  <c r="L69"/>
  <c r="I70"/>
  <c r="J70"/>
  <c r="K70"/>
  <c r="L70"/>
  <c r="I71"/>
  <c r="J71"/>
  <c r="K71"/>
  <c r="L71"/>
  <c r="I72"/>
  <c r="J72"/>
  <c r="K72"/>
  <c r="L72"/>
  <c r="I73"/>
  <c r="J73"/>
  <c r="K73"/>
  <c r="L73"/>
  <c r="I74"/>
  <c r="J74"/>
  <c r="K74"/>
  <c r="L74"/>
  <c r="I75"/>
  <c r="J75"/>
  <c r="K75"/>
  <c r="L75"/>
  <c r="I76"/>
  <c r="J76"/>
  <c r="K76"/>
  <c r="L76"/>
  <c r="I77"/>
  <c r="J77"/>
  <c r="K77"/>
  <c r="L77"/>
  <c r="I80"/>
  <c r="J80"/>
  <c r="K80"/>
  <c r="L80"/>
  <c r="I90"/>
  <c r="J90"/>
  <c r="K90"/>
  <c r="L90"/>
  <c r="I91"/>
  <c r="J91"/>
  <c r="K91"/>
  <c r="L91"/>
  <c r="I92"/>
  <c r="J92"/>
  <c r="K92"/>
  <c r="L92"/>
  <c r="I93"/>
  <c r="J93"/>
  <c r="K93"/>
  <c r="L93"/>
  <c r="I94"/>
  <c r="J94"/>
  <c r="K94"/>
  <c r="L94"/>
  <c r="I95"/>
  <c r="J95"/>
  <c r="K95"/>
  <c r="L95"/>
  <c r="I96"/>
  <c r="J96"/>
  <c r="K96"/>
  <c r="L96"/>
  <c r="I97"/>
  <c r="J97"/>
  <c r="K97"/>
  <c r="L97"/>
  <c r="I99"/>
  <c r="L99"/>
  <c r="I100"/>
  <c r="J100"/>
  <c r="K100"/>
  <c r="L100"/>
  <c r="I101"/>
  <c r="J101"/>
  <c r="K101"/>
  <c r="L101"/>
  <c r="I102"/>
  <c r="J102"/>
  <c r="K102"/>
  <c r="L102"/>
  <c r="I103"/>
  <c r="J103"/>
  <c r="K103"/>
  <c r="L103"/>
  <c r="I104"/>
  <c r="J104"/>
  <c r="K104"/>
  <c r="L104"/>
  <c r="I105"/>
  <c r="J105"/>
  <c r="K105"/>
  <c r="L105"/>
  <c r="I106"/>
  <c r="J106"/>
  <c r="K106"/>
  <c r="L106"/>
  <c r="L108"/>
  <c r="I109"/>
  <c r="J109"/>
  <c r="K109"/>
  <c r="L109"/>
  <c r="I110"/>
  <c r="J110"/>
  <c r="K110"/>
  <c r="L110"/>
  <c r="I111"/>
  <c r="J111"/>
  <c r="K111"/>
  <c r="L111"/>
  <c r="I112"/>
  <c r="J112"/>
  <c r="K112"/>
  <c r="L112"/>
  <c r="I113"/>
  <c r="J113"/>
  <c r="K113"/>
  <c r="L113"/>
  <c r="I114"/>
  <c r="J114"/>
  <c r="K114"/>
  <c r="L114"/>
  <c r="I115"/>
  <c r="J115"/>
  <c r="K115"/>
  <c r="L115"/>
  <c r="I116"/>
  <c r="J116"/>
  <c r="K116"/>
  <c r="L116"/>
  <c r="I117"/>
  <c r="J117"/>
  <c r="K117"/>
  <c r="L117"/>
  <c r="I121"/>
  <c r="J121"/>
  <c r="K121"/>
  <c r="L121"/>
  <c r="I122"/>
  <c r="J122"/>
  <c r="K122"/>
  <c r="L122"/>
  <c r="I123"/>
  <c r="J123"/>
  <c r="K123"/>
  <c r="L123"/>
  <c r="I124"/>
  <c r="J124"/>
  <c r="K124"/>
  <c r="L124"/>
  <c r="I126"/>
  <c r="L126"/>
  <c r="I127"/>
  <c r="J127"/>
  <c r="K127"/>
  <c r="L127"/>
  <c r="I128"/>
  <c r="J128"/>
  <c r="K128"/>
  <c r="L128"/>
  <c r="I129"/>
  <c r="J129"/>
  <c r="K129"/>
  <c r="L129"/>
  <c r="I130"/>
  <c r="J130"/>
  <c r="K130"/>
  <c r="L130"/>
  <c r="I131"/>
  <c r="J131"/>
  <c r="K131"/>
  <c r="L131"/>
  <c r="I132"/>
  <c r="J132"/>
  <c r="K132"/>
  <c r="L132"/>
  <c r="I133"/>
  <c r="J133"/>
  <c r="K133"/>
  <c r="L133"/>
  <c r="I137"/>
  <c r="J137"/>
  <c r="K137"/>
  <c r="L137"/>
  <c r="I138"/>
  <c r="J138"/>
  <c r="K138"/>
  <c r="L138"/>
  <c r="I139"/>
  <c r="J139"/>
  <c r="K139"/>
  <c r="L139"/>
  <c r="I140"/>
  <c r="J140"/>
  <c r="K140"/>
  <c r="L140"/>
  <c r="I143"/>
  <c r="J143"/>
  <c r="K143"/>
  <c r="L143"/>
  <c r="I144"/>
  <c r="J144"/>
  <c r="K144"/>
  <c r="L144"/>
  <c r="I145"/>
  <c r="J145"/>
  <c r="K145"/>
  <c r="L145"/>
  <c r="I146"/>
  <c r="J146"/>
  <c r="K146"/>
  <c r="L146"/>
  <c r="J12" i="11"/>
  <c r="K12"/>
  <c r="L12"/>
  <c r="K16"/>
  <c r="L16"/>
  <c r="J17"/>
  <c r="K17"/>
  <c r="L17"/>
  <c r="J18"/>
  <c r="K18"/>
  <c r="L18"/>
  <c r="I20"/>
  <c r="K20"/>
  <c r="L20"/>
  <c r="J21"/>
  <c r="K21"/>
  <c r="L21"/>
  <c r="J24"/>
  <c r="K24"/>
  <c r="L24"/>
  <c r="K26"/>
  <c r="J27"/>
  <c r="K27"/>
  <c r="L27"/>
  <c r="J28"/>
  <c r="K28"/>
  <c r="L28"/>
  <c r="J31"/>
  <c r="K31"/>
  <c r="L31"/>
  <c r="I33"/>
  <c r="K33"/>
  <c r="L33"/>
  <c r="J34"/>
  <c r="K34"/>
  <c r="L34"/>
  <c r="I36"/>
  <c r="K36"/>
  <c r="L36"/>
  <c r="J37"/>
  <c r="K37"/>
  <c r="L37"/>
  <c r="K39"/>
  <c r="J40"/>
  <c r="K40"/>
  <c r="L40"/>
  <c r="I42"/>
  <c r="K42"/>
  <c r="L42"/>
  <c r="J43"/>
  <c r="K43"/>
  <c r="L43"/>
  <c r="I45"/>
  <c r="K45"/>
  <c r="L45"/>
  <c r="J46"/>
  <c r="K46"/>
  <c r="L46"/>
  <c r="I48"/>
  <c r="K48"/>
  <c r="L48"/>
  <c r="I49"/>
  <c r="K49"/>
  <c r="L49"/>
  <c r="I51"/>
  <c r="K51"/>
  <c r="L51"/>
  <c r="I52"/>
  <c r="K52"/>
  <c r="L52"/>
  <c r="I54"/>
  <c r="L54"/>
  <c r="I55"/>
  <c r="J55"/>
  <c r="L55"/>
  <c r="C9" i="13"/>
  <c r="D9"/>
  <c r="F9"/>
  <c r="G9"/>
  <c r="M9" s="1"/>
  <c r="H9"/>
  <c r="K12" i="14"/>
  <c r="L12"/>
  <c r="M12"/>
  <c r="K13"/>
  <c r="L13"/>
  <c r="M13"/>
  <c r="K14"/>
  <c r="L14"/>
  <c r="M14"/>
  <c r="K15"/>
  <c r="L15"/>
  <c r="M15"/>
  <c r="J17"/>
  <c r="K17"/>
  <c r="L17"/>
  <c r="M17"/>
  <c r="J18"/>
  <c r="L18"/>
  <c r="M18"/>
  <c r="J20"/>
  <c r="J21"/>
  <c r="L21"/>
  <c r="M21"/>
  <c r="J22"/>
  <c r="L22"/>
  <c r="M22"/>
  <c r="J24"/>
  <c r="K24"/>
  <c r="L24"/>
  <c r="M24"/>
  <c r="J25"/>
  <c r="K25"/>
  <c r="M25"/>
  <c r="M27"/>
  <c r="J28"/>
  <c r="K28"/>
  <c r="M28"/>
  <c r="M31"/>
  <c r="J32"/>
  <c r="K32"/>
  <c r="L32"/>
  <c r="M32"/>
  <c r="J33"/>
  <c r="K33"/>
  <c r="L33"/>
  <c r="M33"/>
  <c r="J36"/>
  <c r="K36"/>
  <c r="L36"/>
  <c r="M36"/>
  <c r="J37"/>
  <c r="K37"/>
  <c r="L37"/>
  <c r="M37"/>
  <c r="L39"/>
  <c r="J40"/>
  <c r="K40"/>
  <c r="L40"/>
  <c r="M40"/>
  <c r="L43"/>
  <c r="J44"/>
  <c r="K44"/>
  <c r="L44"/>
  <c r="M44"/>
  <c r="J45"/>
  <c r="K45"/>
  <c r="L45"/>
  <c r="M45"/>
  <c r="M47"/>
  <c r="J48"/>
  <c r="K48"/>
  <c r="L48"/>
  <c r="M48"/>
  <c r="J49"/>
  <c r="K49"/>
  <c r="L49"/>
  <c r="M49"/>
  <c r="J51"/>
  <c r="J52"/>
  <c r="K52"/>
  <c r="L52"/>
  <c r="M52"/>
  <c r="J53"/>
  <c r="K53"/>
  <c r="L53"/>
  <c r="M53"/>
  <c r="J55"/>
  <c r="J56"/>
  <c r="K56"/>
  <c r="L56"/>
  <c r="M56"/>
  <c r="J57"/>
  <c r="K57"/>
  <c r="L57"/>
  <c r="M57"/>
  <c r="M59"/>
  <c r="J60"/>
  <c r="K60"/>
  <c r="L60"/>
  <c r="M60"/>
  <c r="J61"/>
  <c r="K61"/>
  <c r="L61"/>
  <c r="M61"/>
  <c r="J62"/>
  <c r="K62"/>
  <c r="L62"/>
  <c r="M62"/>
  <c r="J65"/>
  <c r="K65"/>
  <c r="L65"/>
  <c r="M65"/>
  <c r="J68"/>
  <c r="K68"/>
  <c r="L68"/>
  <c r="M68"/>
  <c r="G9" i="15"/>
  <c r="K37" i="16"/>
  <c r="K41"/>
  <c r="K44"/>
  <c r="K45"/>
  <c r="K46"/>
  <c r="K47"/>
  <c r="K48"/>
  <c r="K49"/>
  <c r="K50"/>
  <c r="K52"/>
  <c r="K53"/>
  <c r="K54"/>
  <c r="K55"/>
  <c r="K56"/>
  <c r="K57"/>
  <c r="K58"/>
  <c r="K59"/>
  <c r="K61"/>
  <c r="K62"/>
  <c r="K63"/>
  <c r="K64"/>
  <c r="K65"/>
  <c r="K66"/>
  <c r="K67"/>
  <c r="K70"/>
  <c r="K71"/>
  <c r="K72"/>
  <c r="K73"/>
  <c r="K74"/>
  <c r="K75"/>
  <c r="K77"/>
  <c r="K78"/>
  <c r="K79"/>
  <c r="K80"/>
  <c r="K81"/>
  <c r="K82"/>
  <c r="K83"/>
  <c r="K86"/>
  <c r="K87"/>
  <c r="K88"/>
  <c r="K89"/>
  <c r="K90"/>
  <c r="K91"/>
  <c r="K92"/>
  <c r="K95"/>
  <c r="K96"/>
  <c r="K97"/>
  <c r="K100"/>
  <c r="K101"/>
  <c r="K102"/>
  <c r="K103"/>
  <c r="K107"/>
  <c r="K108"/>
  <c r="K109"/>
  <c r="K112"/>
  <c r="K113"/>
  <c r="K114"/>
  <c r="B11" i="17"/>
  <c r="C11"/>
  <c r="D11"/>
  <c r="D9" s="1"/>
  <c r="E11"/>
  <c r="F11"/>
  <c r="G11"/>
  <c r="K30"/>
  <c r="K39"/>
  <c r="K41"/>
  <c r="K48"/>
  <c r="K89"/>
  <c r="J11" i="18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6"/>
  <c r="K26"/>
  <c r="J27"/>
  <c r="K27"/>
  <c r="I30"/>
  <c r="K30"/>
  <c r="I31"/>
  <c r="K31"/>
  <c r="I32"/>
  <c r="K32"/>
  <c r="I33"/>
  <c r="K33"/>
  <c r="I36"/>
  <c r="K36"/>
  <c r="I37"/>
  <c r="K37"/>
  <c r="I38"/>
  <c r="K38"/>
  <c r="K40"/>
  <c r="I41"/>
  <c r="K41"/>
  <c r="I42"/>
  <c r="K42"/>
  <c r="I43"/>
  <c r="K43"/>
  <c r="I44"/>
  <c r="K44"/>
  <c r="I45"/>
  <c r="K45"/>
  <c r="I46"/>
  <c r="K46"/>
  <c r="I49"/>
  <c r="K49"/>
  <c r="I50"/>
  <c r="K50"/>
  <c r="I51"/>
  <c r="K51"/>
  <c r="I54"/>
  <c r="J54"/>
  <c r="I55"/>
  <c r="J55"/>
  <c r="I56"/>
  <c r="J56"/>
  <c r="I58"/>
  <c r="J58"/>
  <c r="I59"/>
  <c r="J59"/>
  <c r="J61"/>
  <c r="I62"/>
  <c r="J62"/>
  <c r="I63"/>
  <c r="J63"/>
  <c r="I64"/>
  <c r="J64"/>
  <c r="I65"/>
  <c r="J65"/>
  <c r="I69"/>
  <c r="J69"/>
  <c r="I70"/>
  <c r="J70"/>
  <c r="I71"/>
  <c r="J71"/>
  <c r="I74"/>
  <c r="J74"/>
  <c r="I75"/>
  <c r="J75"/>
  <c r="I76"/>
  <c r="J76"/>
  <c r="I79"/>
  <c r="J79"/>
  <c r="I80"/>
  <c r="J80"/>
  <c r="I81"/>
  <c r="J81"/>
  <c r="I82"/>
  <c r="J82"/>
  <c r="I83"/>
  <c r="J83"/>
  <c r="I86"/>
  <c r="K86"/>
  <c r="I87"/>
  <c r="K87"/>
  <c r="I88"/>
  <c r="K88"/>
  <c r="I91"/>
  <c r="K91"/>
  <c r="I92"/>
  <c r="K92"/>
  <c r="I93"/>
  <c r="K93"/>
  <c r="I94"/>
  <c r="K94"/>
  <c r="I95"/>
  <c r="K95"/>
  <c r="I97"/>
  <c r="K97"/>
  <c r="I100"/>
  <c r="K100"/>
  <c r="I101"/>
  <c r="K101"/>
  <c r="I102"/>
  <c r="K102"/>
  <c r="J105"/>
  <c r="K105"/>
  <c r="J106"/>
  <c r="K106"/>
  <c r="J107"/>
  <c r="K107"/>
  <c r="B11" i="19"/>
  <c r="C11"/>
  <c r="C9" s="1"/>
  <c r="D11"/>
  <c r="E11"/>
  <c r="F11"/>
  <c r="F9" s="1"/>
  <c r="K13"/>
  <c r="J15"/>
  <c r="J16"/>
  <c r="K16"/>
  <c r="J19"/>
  <c r="K19"/>
  <c r="J20"/>
  <c r="K20"/>
  <c r="J21"/>
  <c r="K21"/>
  <c r="J24"/>
  <c r="K24"/>
  <c r="J25"/>
  <c r="K25"/>
  <c r="K27"/>
  <c r="J28"/>
  <c r="K28"/>
  <c r="J29"/>
  <c r="K29"/>
  <c r="J30"/>
  <c r="K30"/>
  <c r="J31"/>
  <c r="K31"/>
  <c r="I34"/>
  <c r="K34"/>
  <c r="I35"/>
  <c r="K35"/>
  <c r="I38"/>
  <c r="K38"/>
  <c r="I39"/>
  <c r="K39"/>
  <c r="I40"/>
  <c r="K40"/>
  <c r="K42"/>
  <c r="J43"/>
  <c r="K43"/>
  <c r="J44"/>
  <c r="K44"/>
  <c r="J45"/>
  <c r="K45"/>
  <c r="I48"/>
  <c r="K48"/>
  <c r="I49"/>
  <c r="K49"/>
  <c r="J52"/>
  <c r="K52"/>
  <c r="J53"/>
  <c r="K53"/>
  <c r="I56"/>
  <c r="K56"/>
  <c r="I57"/>
  <c r="K57"/>
  <c r="I58"/>
  <c r="K58"/>
  <c r="J62"/>
  <c r="K62"/>
  <c r="J63"/>
  <c r="K63"/>
  <c r="J66"/>
  <c r="K66"/>
  <c r="J67"/>
  <c r="K67"/>
  <c r="J68"/>
  <c r="K68"/>
  <c r="J69"/>
  <c r="K69"/>
  <c r="J72"/>
  <c r="K72"/>
  <c r="J73"/>
  <c r="K73"/>
  <c r="I76"/>
  <c r="K76"/>
  <c r="I77"/>
  <c r="K77"/>
  <c r="D9" i="20"/>
  <c r="J12"/>
  <c r="K12"/>
  <c r="J13"/>
  <c r="K13"/>
  <c r="I16"/>
  <c r="K16"/>
  <c r="I17"/>
  <c r="K17"/>
  <c r="I20"/>
  <c r="J20"/>
  <c r="I21"/>
  <c r="J21"/>
  <c r="I24"/>
  <c r="K24"/>
  <c r="I25"/>
  <c r="K25"/>
  <c r="J28"/>
  <c r="K28"/>
  <c r="J29"/>
  <c r="K29"/>
  <c r="I32"/>
  <c r="K32"/>
  <c r="I33"/>
  <c r="K33"/>
  <c r="I34"/>
  <c r="K34"/>
  <c r="I36"/>
  <c r="I37"/>
  <c r="J37"/>
  <c r="I38"/>
  <c r="J38"/>
  <c r="I39"/>
  <c r="J39"/>
  <c r="I42"/>
  <c r="K42"/>
  <c r="I43"/>
  <c r="K43"/>
  <c r="I44"/>
  <c r="K44"/>
  <c r="I47"/>
  <c r="K47"/>
  <c r="I48"/>
  <c r="K48"/>
  <c r="I49"/>
  <c r="K49"/>
  <c r="I52"/>
  <c r="J52"/>
  <c r="K52"/>
  <c r="I53"/>
  <c r="J53"/>
  <c r="K53"/>
  <c r="I54"/>
  <c r="J54"/>
  <c r="K54"/>
  <c r="I56"/>
  <c r="I57"/>
  <c r="J57"/>
  <c r="K57"/>
  <c r="I58"/>
  <c r="J58"/>
  <c r="K58"/>
  <c r="I59"/>
  <c r="J59"/>
  <c r="K59"/>
  <c r="I62"/>
  <c r="J62"/>
  <c r="K62"/>
  <c r="I63"/>
  <c r="J63"/>
  <c r="K63"/>
  <c r="K65"/>
  <c r="I66"/>
  <c r="J66"/>
  <c r="K66"/>
  <c r="I67"/>
  <c r="J67"/>
  <c r="K67"/>
  <c r="I68"/>
  <c r="J68"/>
  <c r="K68"/>
  <c r="I69"/>
  <c r="J69"/>
  <c r="K69"/>
  <c r="I72"/>
  <c r="J72"/>
  <c r="K72"/>
  <c r="I73"/>
  <c r="J73"/>
  <c r="K73"/>
  <c r="I75"/>
  <c r="I76"/>
  <c r="J76"/>
  <c r="K76"/>
  <c r="I77"/>
  <c r="J77"/>
  <c r="K77"/>
  <c r="I78"/>
  <c r="J78"/>
  <c r="K78"/>
  <c r="F9" i="21"/>
  <c r="J12"/>
  <c r="K12"/>
  <c r="J13"/>
  <c r="K13"/>
  <c r="K15"/>
  <c r="J16"/>
  <c r="K16"/>
  <c r="I19"/>
  <c r="I25"/>
  <c r="K25"/>
  <c r="I26"/>
  <c r="K26"/>
  <c r="I29"/>
  <c r="K29"/>
  <c r="I30"/>
  <c r="K30"/>
  <c r="I33"/>
  <c r="K33"/>
  <c r="I37"/>
  <c r="K37"/>
  <c r="I38"/>
  <c r="K38"/>
  <c r="I41"/>
  <c r="K41"/>
  <c r="I42"/>
  <c r="K42"/>
  <c r="I45"/>
  <c r="J45"/>
  <c r="I46"/>
  <c r="J46"/>
  <c r="I51"/>
  <c r="J51"/>
  <c r="I55"/>
  <c r="K55"/>
  <c r="I56"/>
  <c r="K56"/>
  <c r="I57"/>
  <c r="K57"/>
  <c r="I62"/>
  <c r="J62"/>
  <c r="K62"/>
  <c r="K64"/>
  <c r="I65"/>
  <c r="J65"/>
  <c r="K65"/>
  <c r="C11" i="22"/>
  <c r="D11"/>
  <c r="F11"/>
  <c r="G11"/>
  <c r="B11" i="24"/>
  <c r="C11"/>
  <c r="C9" s="1"/>
  <c r="D11"/>
  <c r="F11"/>
  <c r="F9" s="1"/>
  <c r="G11"/>
  <c r="D8" i="3"/>
  <c r="E8"/>
  <c r="F8"/>
  <c r="G8"/>
  <c r="H8"/>
  <c r="I8"/>
  <c r="J8"/>
  <c r="K8"/>
  <c r="P8"/>
  <c r="F39" i="29" s="1"/>
  <c r="Q8" i="3"/>
  <c r="F41" i="29" s="1"/>
  <c r="B20" i="9"/>
  <c r="B22"/>
  <c r="B24"/>
  <c r="B25"/>
  <c r="B29"/>
  <c r="B32"/>
  <c r="B33"/>
  <c r="B37"/>
  <c r="B40"/>
  <c r="B43"/>
  <c r="B44"/>
  <c r="B45"/>
  <c r="B48"/>
  <c r="B50"/>
  <c r="B52"/>
  <c r="B55"/>
  <c r="B61"/>
  <c r="B65"/>
  <c r="B67"/>
  <c r="B69"/>
  <c r="B71"/>
  <c r="B84"/>
  <c r="B93"/>
  <c r="B94"/>
  <c r="B97"/>
  <c r="B101"/>
  <c r="B104"/>
  <c r="B109"/>
  <c r="B111"/>
  <c r="B113"/>
  <c r="B115"/>
  <c r="B117"/>
  <c r="B119"/>
  <c r="B123"/>
  <c r="B127"/>
  <c r="B129"/>
  <c r="B131"/>
  <c r="B143"/>
  <c r="B145"/>
  <c r="B147"/>
  <c r="B149"/>
  <c r="B151"/>
  <c r="B155"/>
  <c r="B158"/>
  <c r="B159"/>
  <c r="B161"/>
  <c r="B163"/>
  <c r="B167"/>
  <c r="B169"/>
  <c r="B173"/>
  <c r="B174"/>
  <c r="B177"/>
  <c r="B179"/>
  <c r="B181"/>
  <c r="B185"/>
  <c r="B187"/>
  <c r="B189"/>
  <c r="B191"/>
  <c r="B200"/>
  <c r="B213"/>
  <c r="B235"/>
  <c r="B242"/>
  <c r="B259"/>
  <c r="B261"/>
  <c r="B263"/>
  <c r="B265"/>
  <c r="B270"/>
  <c r="B278"/>
  <c r="B279"/>
  <c r="B282"/>
  <c r="B290"/>
  <c r="B294"/>
  <c r="B298"/>
  <c r="B306"/>
  <c r="B310"/>
  <c r="B312"/>
  <c r="B319"/>
  <c r="B335"/>
  <c r="B360"/>
  <c r="E404"/>
  <c r="F404"/>
  <c r="G404"/>
  <c r="I404"/>
  <c r="J404"/>
  <c r="L404"/>
  <c r="M404"/>
  <c r="N404"/>
  <c r="O404"/>
  <c r="P404"/>
  <c r="B412"/>
  <c r="B413"/>
  <c r="B415"/>
  <c r="B416"/>
  <c r="B417"/>
  <c r="B427"/>
  <c r="B429"/>
  <c r="B432"/>
  <c r="B435"/>
  <c r="B443"/>
  <c r="B444"/>
  <c r="B447"/>
  <c r="B452"/>
  <c r="B454"/>
  <c r="B458"/>
  <c r="B462"/>
  <c r="B470"/>
  <c r="B472"/>
  <c r="B475"/>
  <c r="B476"/>
  <c r="B477"/>
  <c r="K142" i="10"/>
  <c r="J142"/>
  <c r="I142"/>
  <c r="K89"/>
  <c r="J89"/>
  <c r="I89"/>
  <c r="K49"/>
  <c r="J49"/>
  <c r="L49"/>
  <c r="K11" i="14"/>
  <c r="L89" i="10"/>
  <c r="I49"/>
  <c r="K11" i="18"/>
  <c r="J25"/>
  <c r="K25"/>
  <c r="J73"/>
  <c r="K18" i="19"/>
  <c r="J18"/>
  <c r="K23"/>
  <c r="J27"/>
  <c r="I37"/>
  <c r="K61"/>
  <c r="K71"/>
  <c r="K15" i="20"/>
  <c r="J19"/>
  <c r="I23"/>
  <c r="K23"/>
  <c r="K27"/>
  <c r="J27"/>
  <c r="J36"/>
  <c r="K41"/>
  <c r="K46"/>
  <c r="K56"/>
  <c r="J56"/>
  <c r="K61"/>
  <c r="J65"/>
  <c r="I65"/>
  <c r="K71"/>
  <c r="J15" i="21"/>
  <c r="J64"/>
  <c r="J40"/>
  <c r="I15" i="20"/>
  <c r="K51" i="19"/>
  <c r="K37"/>
  <c r="K99" i="18"/>
  <c r="M11" i="14"/>
  <c r="J108" i="10"/>
  <c r="K108"/>
  <c r="K126"/>
  <c r="M20" i="14"/>
  <c r="L20"/>
  <c r="J27"/>
  <c r="L31"/>
  <c r="J31"/>
  <c r="K35"/>
  <c r="M35"/>
  <c r="J35"/>
  <c r="K39"/>
  <c r="M39"/>
  <c r="J39"/>
  <c r="M43"/>
  <c r="L47"/>
  <c r="J47"/>
  <c r="K51"/>
  <c r="M51"/>
  <c r="K55"/>
  <c r="M55"/>
  <c r="L55"/>
  <c r="J59"/>
  <c r="L59"/>
  <c r="J64"/>
  <c r="K67"/>
  <c r="M67"/>
  <c r="J67"/>
  <c r="K27"/>
  <c r="K43"/>
  <c r="K59"/>
  <c r="J53" i="18"/>
  <c r="J68"/>
  <c r="I68"/>
  <c r="J78"/>
  <c r="I85"/>
  <c r="K85"/>
  <c r="I11" i="10"/>
  <c r="I24" i="21"/>
  <c r="K75" i="20"/>
  <c r="I71"/>
  <c r="I61"/>
  <c r="I31"/>
  <c r="I73" i="18"/>
  <c r="G9" i="17"/>
  <c r="L142" i="10"/>
  <c r="L11" i="14"/>
  <c r="L120" i="10"/>
  <c r="I120"/>
  <c r="J136"/>
  <c r="L136"/>
  <c r="I136"/>
  <c r="J79"/>
  <c r="L79"/>
  <c r="I79"/>
  <c r="J41"/>
  <c r="L41"/>
  <c r="I41"/>
  <c r="L35" i="14"/>
  <c r="L51"/>
  <c r="L67"/>
  <c r="K31"/>
  <c r="K47"/>
  <c r="I40" i="18"/>
  <c r="K68"/>
  <c r="I29"/>
  <c r="K29"/>
  <c r="I53"/>
  <c r="J23" i="19"/>
  <c r="J42"/>
  <c r="J61" i="20"/>
  <c r="J71"/>
  <c r="K40" i="21"/>
  <c r="K136" i="10"/>
  <c r="K79"/>
  <c r="K41"/>
  <c r="J120"/>
  <c r="J68"/>
  <c r="J31"/>
  <c r="K120"/>
  <c r="K68"/>
  <c r="K31"/>
  <c r="K11" i="11"/>
  <c r="C9"/>
  <c r="B9" i="22"/>
  <c r="K106" i="16"/>
  <c r="K99"/>
  <c r="K75" i="19"/>
  <c r="K65"/>
  <c r="K47"/>
  <c r="B188" i="9"/>
  <c r="G9" i="24"/>
  <c r="D9"/>
  <c r="D9" i="23"/>
  <c r="J48" i="18"/>
  <c r="C9"/>
  <c r="O9" i="7"/>
  <c r="B450" i="8"/>
  <c r="F91"/>
  <c r="G121"/>
  <c r="D324"/>
  <c r="B363"/>
  <c r="B382"/>
  <c r="B393"/>
  <c r="B402"/>
  <c r="B406"/>
  <c r="B93"/>
  <c r="B196"/>
  <c r="C205"/>
  <c r="B222"/>
  <c r="B230"/>
  <c r="B234"/>
  <c r="B245"/>
  <c r="B248"/>
  <c r="B270"/>
  <c r="B328"/>
  <c r="B360"/>
  <c r="B374"/>
  <c r="B381"/>
  <c r="B412"/>
  <c r="B231"/>
  <c r="B235"/>
  <c r="B329"/>
  <c r="B373"/>
  <c r="B398"/>
  <c r="B434"/>
  <c r="B326" i="9"/>
  <c r="B362"/>
  <c r="B366"/>
  <c r="B272"/>
  <c r="B438"/>
  <c r="B459"/>
  <c r="B467"/>
  <c r="B196"/>
  <c r="B210"/>
  <c r="B214"/>
  <c r="B229"/>
  <c r="B217"/>
  <c r="B221"/>
  <c r="B216"/>
  <c r="B334"/>
  <c r="B374"/>
  <c r="B348"/>
  <c r="B364"/>
  <c r="B234"/>
  <c r="B271"/>
  <c r="B85"/>
  <c r="B289"/>
  <c r="B19"/>
  <c r="B231"/>
  <c r="C324"/>
  <c r="B13" i="1"/>
  <c r="B17"/>
  <c r="B14"/>
  <c r="B16"/>
  <c r="B12"/>
  <c r="B15"/>
  <c r="C8"/>
  <c r="B18"/>
  <c r="B19"/>
  <c r="B20"/>
  <c r="B21"/>
  <c r="B22"/>
  <c r="B23"/>
  <c r="B24"/>
  <c r="M8"/>
  <c r="B11"/>
  <c r="E8"/>
  <c r="D8"/>
  <c r="B19" i="2"/>
  <c r="B12"/>
  <c r="B14"/>
  <c r="M8"/>
  <c r="B13"/>
  <c r="B15"/>
  <c r="B24"/>
  <c r="B18"/>
  <c r="B17"/>
  <c r="B20"/>
  <c r="B22"/>
  <c r="B11"/>
  <c r="B21"/>
  <c r="B23"/>
  <c r="C8"/>
  <c r="L8"/>
  <c r="B16"/>
  <c r="D8"/>
  <c r="C8" i="3"/>
  <c r="B14"/>
  <c r="L8"/>
  <c r="B11"/>
  <c r="B23"/>
  <c r="B13"/>
  <c r="B17"/>
  <c r="B21"/>
  <c r="B18"/>
  <c r="B22"/>
  <c r="B12"/>
  <c r="B16"/>
  <c r="B20"/>
  <c r="B24"/>
  <c r="N8"/>
  <c r="O8"/>
  <c r="F37" i="29" s="1"/>
  <c r="B19" i="3"/>
  <c r="L8" i="1"/>
  <c r="B15" i="3"/>
  <c r="F227" i="9" l="1"/>
  <c r="C239" i="8"/>
  <c r="B326"/>
  <c r="F227"/>
  <c r="H332"/>
  <c r="B407"/>
  <c r="D74"/>
  <c r="B89"/>
  <c r="B87" s="1"/>
  <c r="B330"/>
  <c r="B339"/>
  <c r="B367"/>
  <c r="B391"/>
  <c r="B396"/>
  <c r="B305"/>
  <c r="B303" s="1"/>
  <c r="L315"/>
  <c r="E81"/>
  <c r="E9" s="1"/>
  <c r="M410" i="9"/>
  <c r="B394" i="8"/>
  <c r="J104" i="18"/>
  <c r="I90"/>
  <c r="C9" i="20"/>
  <c r="J11"/>
  <c r="K58" i="22"/>
  <c r="J58"/>
  <c r="J55"/>
  <c r="K55"/>
  <c r="J50"/>
  <c r="K50"/>
  <c r="F9"/>
  <c r="I46"/>
  <c r="J46"/>
  <c r="K42"/>
  <c r="J42"/>
  <c r="J38"/>
  <c r="K38"/>
  <c r="J34"/>
  <c r="K34"/>
  <c r="K30"/>
  <c r="J26"/>
  <c r="K26"/>
  <c r="K22"/>
  <c r="J22"/>
  <c r="J18"/>
  <c r="K18"/>
  <c r="J15"/>
  <c r="K15"/>
  <c r="I15"/>
  <c r="J11"/>
  <c r="I11"/>
  <c r="K11"/>
  <c r="B224" i="9"/>
  <c r="H205"/>
  <c r="B220"/>
  <c r="B212"/>
  <c r="B208"/>
  <c r="J45" i="15"/>
  <c r="L45"/>
  <c r="J71"/>
  <c r="L71"/>
  <c r="J87"/>
  <c r="L87"/>
  <c r="J113"/>
  <c r="L113"/>
  <c r="L11" i="12"/>
  <c r="J11"/>
  <c r="L17"/>
  <c r="J17"/>
  <c r="L24"/>
  <c r="J24"/>
  <c r="L31"/>
  <c r="J31"/>
  <c r="L37"/>
  <c r="J37"/>
  <c r="L44"/>
  <c r="J44"/>
  <c r="I47" i="19"/>
  <c r="I18" i="24"/>
  <c r="K21"/>
  <c r="I27"/>
  <c r="I33"/>
  <c r="K40"/>
  <c r="I52"/>
  <c r="K59"/>
  <c r="I75"/>
  <c r="E9" i="16"/>
  <c r="J29"/>
  <c r="J44"/>
  <c r="J61"/>
  <c r="J77"/>
  <c r="J95"/>
  <c r="J106"/>
  <c r="M19" i="15"/>
  <c r="M22"/>
  <c r="M31"/>
  <c r="L30" i="11"/>
  <c r="J51" i="20"/>
  <c r="J20" i="23"/>
  <c r="J31"/>
  <c r="J45"/>
  <c r="J96"/>
  <c r="J107"/>
  <c r="I410" i="9"/>
  <c r="J9" i="13"/>
  <c r="L9"/>
  <c r="J11" i="15"/>
  <c r="L11"/>
  <c r="H9"/>
  <c r="K31"/>
  <c r="J38"/>
  <c r="L38"/>
  <c r="J101"/>
  <c r="L101"/>
  <c r="J54"/>
  <c r="L54"/>
  <c r="F11" i="29"/>
  <c r="K19" i="15"/>
  <c r="M45"/>
  <c r="M71"/>
  <c r="M87"/>
  <c r="M113"/>
  <c r="E9" i="14"/>
  <c r="F9"/>
  <c r="M11" i="12"/>
  <c r="M17"/>
  <c r="M24"/>
  <c r="M31"/>
  <c r="M37"/>
  <c r="M44"/>
  <c r="L39" i="11"/>
  <c r="K11" i="20"/>
  <c r="K31"/>
  <c r="I36" i="21"/>
  <c r="J85" i="18"/>
  <c r="G9"/>
  <c r="K104"/>
  <c r="J63" i="15"/>
  <c r="L63"/>
  <c r="J79"/>
  <c r="L79"/>
  <c r="J97"/>
  <c r="L97"/>
  <c r="J108"/>
  <c r="L108"/>
  <c r="L14" i="12"/>
  <c r="J14"/>
  <c r="L21"/>
  <c r="J21"/>
  <c r="L28"/>
  <c r="J28"/>
  <c r="L34"/>
  <c r="J34"/>
  <c r="L41"/>
  <c r="J41"/>
  <c r="L47"/>
  <c r="J47"/>
  <c r="M64" i="14"/>
  <c r="I51" i="20"/>
  <c r="C9" i="23"/>
  <c r="E9"/>
  <c r="B280" i="9"/>
  <c r="N205"/>
  <c r="B317"/>
  <c r="B321"/>
  <c r="M194"/>
  <c r="M205"/>
  <c r="F10" i="27"/>
  <c r="J19" i="15"/>
  <c r="L19"/>
  <c r="J22"/>
  <c r="L22"/>
  <c r="J31"/>
  <c r="L31"/>
  <c r="K9" i="13"/>
  <c r="I55" i="19"/>
  <c r="B9" i="24"/>
  <c r="D9" i="16"/>
  <c r="K11" i="15"/>
  <c r="K22"/>
  <c r="K38"/>
  <c r="M63"/>
  <c r="D9"/>
  <c r="M79"/>
  <c r="M97"/>
  <c r="M108"/>
  <c r="K54"/>
  <c r="M14" i="12"/>
  <c r="M21"/>
  <c r="M28"/>
  <c r="M34"/>
  <c r="M41"/>
  <c r="M47"/>
  <c r="I26" i="11"/>
  <c r="L11"/>
  <c r="E9" i="10"/>
  <c r="K28" i="21"/>
  <c r="I99" i="18"/>
  <c r="K20" i="23"/>
  <c r="I31"/>
  <c r="K38"/>
  <c r="K45"/>
  <c r="K86"/>
  <c r="I96"/>
  <c r="I107"/>
  <c r="J112"/>
  <c r="I410" i="8"/>
  <c r="I108" i="10"/>
  <c r="C59" i="8"/>
  <c r="C332"/>
  <c r="C59" i="9"/>
  <c r="B61" i="8"/>
  <c r="K11" i="10"/>
  <c r="J11"/>
  <c r="L11"/>
  <c r="E9" i="19"/>
  <c r="I153" i="9"/>
  <c r="B70"/>
  <c r="B339"/>
  <c r="B344"/>
  <c r="B359"/>
  <c r="B363"/>
  <c r="B367"/>
  <c r="B387"/>
  <c r="B391"/>
  <c r="B399"/>
  <c r="B376"/>
  <c r="B377"/>
  <c r="B389"/>
  <c r="B401"/>
  <c r="B342"/>
  <c r="B369"/>
  <c r="B337"/>
  <c r="B372"/>
  <c r="B386"/>
  <c r="B371"/>
  <c r="B225"/>
  <c r="B236"/>
  <c r="H257"/>
  <c r="B318"/>
  <c r="B288"/>
  <c r="B199"/>
  <c r="B237"/>
  <c r="C205"/>
  <c r="C239"/>
  <c r="B108"/>
  <c r="B338"/>
  <c r="H141"/>
  <c r="B394"/>
  <c r="B440"/>
  <c r="F91"/>
  <c r="E81"/>
  <c r="E9" s="1"/>
  <c r="B247"/>
  <c r="B343"/>
  <c r="B375"/>
  <c r="B390"/>
  <c r="B373"/>
  <c r="N315"/>
  <c r="B247" i="8"/>
  <c r="B365"/>
  <c r="H404"/>
  <c r="B274"/>
  <c r="K33" i="19"/>
  <c r="I15"/>
  <c r="F10" i="28"/>
  <c r="I153" i="8"/>
  <c r="K15" i="19"/>
  <c r="B9"/>
  <c r="J11"/>
  <c r="M227" i="8"/>
  <c r="K51" i="20"/>
  <c r="G9"/>
  <c r="I46"/>
  <c r="J41"/>
  <c r="I19"/>
  <c r="B407" i="9"/>
  <c r="B274"/>
  <c r="B446"/>
  <c r="B457"/>
  <c r="D404" i="8"/>
  <c r="B465"/>
  <c r="B321"/>
  <c r="B392"/>
  <c r="B440"/>
  <c r="B346"/>
  <c r="B350"/>
  <c r="B459"/>
  <c r="H324" i="9"/>
  <c r="B219" i="8"/>
  <c r="B423"/>
  <c r="B437"/>
  <c r="B397" i="9"/>
  <c r="B395" i="8"/>
  <c r="B395" i="9"/>
  <c r="E9" i="17"/>
  <c r="B384" i="8"/>
  <c r="B388"/>
  <c r="B384" i="9"/>
  <c r="H205" i="8"/>
  <c r="B350" i="9"/>
  <c r="B328"/>
  <c r="B336"/>
  <c r="C9" i="17"/>
  <c r="F9"/>
  <c r="B233" i="9"/>
  <c r="B232"/>
  <c r="B8" i="2"/>
  <c r="C9" i="22"/>
  <c r="I40" i="21"/>
  <c r="I28"/>
  <c r="K18"/>
  <c r="C9"/>
  <c r="B466" i="9"/>
  <c r="B446" i="8"/>
  <c r="B458"/>
  <c r="B466"/>
  <c r="B476"/>
  <c r="G9" i="21"/>
  <c r="J44"/>
  <c r="I61"/>
  <c r="K61"/>
  <c r="J61"/>
  <c r="I18"/>
  <c r="J11"/>
  <c r="K32"/>
  <c r="K44"/>
  <c r="J28"/>
  <c r="I44"/>
  <c r="B430" i="9"/>
  <c r="K24" i="21"/>
  <c r="B469" i="8"/>
  <c r="B473"/>
  <c r="B9" i="21"/>
  <c r="D9"/>
  <c r="J36"/>
  <c r="K50"/>
  <c r="B461" i="9"/>
  <c r="B465"/>
  <c r="B469"/>
  <c r="B473"/>
  <c r="M410" i="8"/>
  <c r="J54" i="21"/>
  <c r="J32"/>
  <c r="K54"/>
  <c r="B451" i="9"/>
  <c r="K11" i="21"/>
  <c r="B423" i="9"/>
  <c r="B194" i="8"/>
  <c r="B221"/>
  <c r="G9" i="22"/>
  <c r="M227" i="9"/>
  <c r="B232" i="8"/>
  <c r="D9" i="22"/>
  <c r="F9" i="20"/>
  <c r="J31"/>
  <c r="B9"/>
  <c r="I15" i="9"/>
  <c r="E9" i="20"/>
  <c r="I15" i="8"/>
  <c r="I11" i="20"/>
  <c r="I65" i="19"/>
  <c r="I33"/>
  <c r="D9"/>
  <c r="E9" i="18"/>
  <c r="C9" i="7"/>
  <c r="F9" i="18"/>
  <c r="I104"/>
  <c r="K90"/>
  <c r="J35"/>
  <c r="K35"/>
  <c r="B9"/>
  <c r="I35"/>
  <c r="B425" i="9"/>
  <c r="B284"/>
  <c r="B393"/>
  <c r="K332" i="8"/>
  <c r="E9" i="24"/>
  <c r="J9" s="1"/>
  <c r="K67"/>
  <c r="K45"/>
  <c r="B399" i="8"/>
  <c r="K100" i="23"/>
  <c r="B385" i="9"/>
  <c r="I78" i="23"/>
  <c r="J78"/>
  <c r="B281" i="8"/>
  <c r="B9" i="23"/>
  <c r="K62"/>
  <c r="J62"/>
  <c r="F9"/>
  <c r="K9" s="1"/>
  <c r="J267" i="9"/>
  <c r="J332"/>
  <c r="B334" i="8"/>
  <c r="B141"/>
  <c r="B389"/>
  <c r="B9" i="17"/>
  <c r="H141" i="8"/>
  <c r="B387"/>
  <c r="B383"/>
  <c r="H257"/>
  <c r="B379"/>
  <c r="B380" i="9"/>
  <c r="B368" i="8"/>
  <c r="B371"/>
  <c r="B348"/>
  <c r="B337"/>
  <c r="B209"/>
  <c r="I111" i="16"/>
  <c r="K85"/>
  <c r="F9"/>
  <c r="N332" i="9"/>
  <c r="N315" i="8"/>
  <c r="N227" i="9"/>
  <c r="B368"/>
  <c r="N227" i="8"/>
  <c r="B319"/>
  <c r="K69" i="16"/>
  <c r="B361" i="9"/>
  <c r="K111" i="16"/>
  <c r="B320" i="9"/>
  <c r="B315" s="1"/>
  <c r="I61" i="16"/>
  <c r="I95"/>
  <c r="N332" i="8"/>
  <c r="K11" i="16"/>
  <c r="B106" i="8"/>
  <c r="L267" i="9"/>
  <c r="B281"/>
  <c r="F9" i="15"/>
  <c r="L332" i="8"/>
  <c r="B9" i="15"/>
  <c r="M9" s="1"/>
  <c r="L332" i="9"/>
  <c r="L267" i="8"/>
  <c r="C9" i="15"/>
  <c r="L303" i="9"/>
  <c r="L64" i="14"/>
  <c r="B9"/>
  <c r="F9" i="12"/>
  <c r="G9" i="7"/>
  <c r="I39" i="11"/>
  <c r="B408" i="8"/>
  <c r="B404" s="1"/>
  <c r="I30" i="11"/>
  <c r="K30"/>
  <c r="L26"/>
  <c r="B9"/>
  <c r="K23"/>
  <c r="L23"/>
  <c r="B74" i="8"/>
  <c r="F9" i="11"/>
  <c r="J21" i="24"/>
  <c r="J45"/>
  <c r="J75"/>
  <c r="J98"/>
  <c r="K11"/>
  <c r="J18"/>
  <c r="J40"/>
  <c r="J67"/>
  <c r="J94"/>
  <c r="K9"/>
  <c r="I83"/>
  <c r="K87"/>
  <c r="I94"/>
  <c r="I98"/>
  <c r="J33"/>
  <c r="J59"/>
  <c r="J87"/>
  <c r="J11"/>
  <c r="J27"/>
  <c r="J52"/>
  <c r="J83"/>
  <c r="J11" i="23"/>
  <c r="J23"/>
  <c r="J38"/>
  <c r="J53"/>
  <c r="J70"/>
  <c r="J86"/>
  <c r="J100"/>
  <c r="K11"/>
  <c r="I23"/>
  <c r="I38"/>
  <c r="I53"/>
  <c r="I70"/>
  <c r="I86"/>
  <c r="I100"/>
  <c r="I112"/>
  <c r="J18" i="21"/>
  <c r="I11"/>
  <c r="I15"/>
  <c r="J24"/>
  <c r="J15" i="20"/>
  <c r="I27"/>
  <c r="J46"/>
  <c r="K19"/>
  <c r="J23"/>
  <c r="K36"/>
  <c r="J37" i="19"/>
  <c r="J47"/>
  <c r="J55"/>
  <c r="J75"/>
  <c r="I18"/>
  <c r="I27"/>
  <c r="K55"/>
  <c r="I75"/>
  <c r="J33"/>
  <c r="J51"/>
  <c r="J71"/>
  <c r="G9"/>
  <c r="I23"/>
  <c r="I42"/>
  <c r="I51"/>
  <c r="J61"/>
  <c r="I61"/>
  <c r="I71"/>
  <c r="B153" i="8"/>
  <c r="I11" i="18"/>
  <c r="D9"/>
  <c r="I25"/>
  <c r="J29"/>
  <c r="J40"/>
  <c r="K61"/>
  <c r="K73"/>
  <c r="K78"/>
  <c r="J99"/>
  <c r="K53"/>
  <c r="J90"/>
  <c r="I11" i="17"/>
  <c r="K44"/>
  <c r="K83"/>
  <c r="K121"/>
  <c r="J26"/>
  <c r="J63"/>
  <c r="J103"/>
  <c r="J137"/>
  <c r="J11"/>
  <c r="K36"/>
  <c r="I74"/>
  <c r="K115"/>
  <c r="J21"/>
  <c r="J53"/>
  <c r="J93"/>
  <c r="J131"/>
  <c r="B211" i="9"/>
  <c r="B219"/>
  <c r="K26" i="17"/>
  <c r="K63"/>
  <c r="K103"/>
  <c r="K137"/>
  <c r="J44"/>
  <c r="J83"/>
  <c r="J121"/>
  <c r="K21"/>
  <c r="K53"/>
  <c r="I93"/>
  <c r="I131"/>
  <c r="J36"/>
  <c r="J74"/>
  <c r="J115"/>
  <c r="I11" i="16"/>
  <c r="K19"/>
  <c r="I22"/>
  <c r="K29"/>
  <c r="I44"/>
  <c r="I77"/>
  <c r="J111"/>
  <c r="J19"/>
  <c r="K22"/>
  <c r="I36"/>
  <c r="I52"/>
  <c r="I69"/>
  <c r="I85"/>
  <c r="I99"/>
  <c r="I106"/>
  <c r="J11"/>
  <c r="C9"/>
  <c r="J22"/>
  <c r="J36"/>
  <c r="J52"/>
  <c r="J69"/>
  <c r="J85"/>
  <c r="J99"/>
  <c r="B398" i="9"/>
  <c r="B276"/>
  <c r="B345" i="8"/>
  <c r="B361"/>
  <c r="G9" i="14"/>
  <c r="K20"/>
  <c r="B91" i="8"/>
  <c r="F9" i="9"/>
  <c r="L27" i="14"/>
  <c r="H9"/>
  <c r="D9" i="12"/>
  <c r="J33" i="11"/>
  <c r="J39"/>
  <c r="J51"/>
  <c r="J54"/>
  <c r="J20"/>
  <c r="I23"/>
  <c r="J26"/>
  <c r="J36"/>
  <c r="K54"/>
  <c r="I16"/>
  <c r="J30"/>
  <c r="D9"/>
  <c r="F9" i="10"/>
  <c r="C9"/>
  <c r="J9" s="1"/>
  <c r="B8" i="1"/>
  <c r="J11" i="11"/>
  <c r="D87" i="9"/>
  <c r="B89"/>
  <c r="B87" s="1"/>
  <c r="B76"/>
  <c r="D332"/>
  <c r="B346"/>
  <c r="B10" i="3"/>
  <c r="B8" s="1"/>
  <c r="K11" i="19"/>
  <c r="I19" i="16"/>
  <c r="G9" i="12"/>
  <c r="G16" i="11"/>
  <c r="J16" s="1"/>
  <c r="G45"/>
  <c r="J45" s="1"/>
  <c r="K31" i="23"/>
  <c r="K53"/>
  <c r="K70"/>
  <c r="I45"/>
  <c r="K27" i="24"/>
  <c r="I67"/>
  <c r="K83"/>
  <c r="K98"/>
  <c r="I83" i="17"/>
  <c r="I121"/>
  <c r="K11"/>
  <c r="K74"/>
  <c r="K93"/>
  <c r="K131"/>
  <c r="H332" i="9"/>
  <c r="H9" s="1"/>
  <c r="B121"/>
  <c r="D246"/>
  <c r="B246" s="1"/>
  <c r="B220" i="8"/>
  <c r="B364"/>
  <c r="B15"/>
  <c r="K404"/>
  <c r="M205"/>
  <c r="O13" i="9"/>
  <c r="I29" i="16"/>
  <c r="K36"/>
  <c r="B9"/>
  <c r="C9" i="14"/>
  <c r="H9" i="12"/>
  <c r="G48" i="11"/>
  <c r="J48" s="1"/>
  <c r="J52"/>
  <c r="K78" i="23"/>
  <c r="K96"/>
  <c r="K107"/>
  <c r="K112"/>
  <c r="I11"/>
  <c r="I20"/>
  <c r="I62"/>
  <c r="I11" i="24"/>
  <c r="K18"/>
  <c r="I21"/>
  <c r="K33"/>
  <c r="I40"/>
  <c r="I45"/>
  <c r="K52"/>
  <c r="I59"/>
  <c r="K75"/>
  <c r="I87"/>
  <c r="K94"/>
  <c r="I36" i="17"/>
  <c r="I63"/>
  <c r="I115"/>
  <c r="G121" i="9"/>
  <c r="G9" s="1"/>
  <c r="B209"/>
  <c r="D77"/>
  <c r="B77" s="1"/>
  <c r="D408"/>
  <c r="B408" s="1"/>
  <c r="B59"/>
  <c r="B327"/>
  <c r="B303"/>
  <c r="B59" i="8"/>
  <c r="J267"/>
  <c r="B267"/>
  <c r="J332"/>
  <c r="B341"/>
  <c r="B377"/>
  <c r="B401"/>
  <c r="K286"/>
  <c r="B342"/>
  <c r="M194"/>
  <c r="P11" i="9"/>
  <c r="B106"/>
  <c r="J65" i="19"/>
  <c r="I11"/>
  <c r="B9" i="12"/>
  <c r="J14" i="11"/>
  <c r="E9"/>
  <c r="I21" i="17"/>
  <c r="I26"/>
  <c r="I44"/>
  <c r="I53"/>
  <c r="I103"/>
  <c r="I137"/>
  <c r="B257" i="9"/>
  <c r="D244"/>
  <c r="D329"/>
  <c r="B329" s="1"/>
  <c r="D406"/>
  <c r="B207"/>
  <c r="B215"/>
  <c r="B388"/>
  <c r="B400"/>
  <c r="G9" i="23"/>
  <c r="B194" i="9"/>
  <c r="B239" i="8"/>
  <c r="D239"/>
  <c r="D9" s="1"/>
  <c r="B327"/>
  <c r="B324" s="1"/>
  <c r="B81"/>
  <c r="F205"/>
  <c r="F9" s="1"/>
  <c r="B372"/>
  <c r="B81" i="9"/>
  <c r="G9" i="16"/>
  <c r="G23" i="11"/>
  <c r="J23" s="1"/>
  <c r="G42"/>
  <c r="J42" s="1"/>
  <c r="K23" i="23"/>
  <c r="B218" i="9"/>
  <c r="C404"/>
  <c r="K332"/>
  <c r="K9" s="1"/>
  <c r="B121" i="8"/>
  <c r="G205"/>
  <c r="G9" s="1"/>
  <c r="B213"/>
  <c r="B225"/>
  <c r="B257"/>
  <c r="B236"/>
  <c r="B227" s="1"/>
  <c r="B431"/>
  <c r="B455"/>
  <c r="B461"/>
  <c r="N205"/>
  <c r="B318"/>
  <c r="B322"/>
  <c r="B141" i="9"/>
  <c r="B15"/>
  <c r="B153"/>
  <c r="B286"/>
  <c r="B91"/>
  <c r="B288" i="8"/>
  <c r="B286" s="1"/>
  <c r="C9" l="1"/>
  <c r="J9" i="22"/>
  <c r="I9"/>
  <c r="K9"/>
  <c r="B227" i="9"/>
  <c r="J9" i="15"/>
  <c r="L9"/>
  <c r="L9" i="12"/>
  <c r="J9"/>
  <c r="K9" i="15"/>
  <c r="K9" i="12"/>
  <c r="M9"/>
  <c r="C9" i="9"/>
  <c r="B267"/>
  <c r="I9" i="19"/>
  <c r="L9" i="8"/>
  <c r="H9"/>
  <c r="J9" i="17"/>
  <c r="K9"/>
  <c r="I9"/>
  <c r="M9" i="9"/>
  <c r="J9" i="21"/>
  <c r="I9"/>
  <c r="B410" i="9"/>
  <c r="K9" i="21"/>
  <c r="M9" i="8"/>
  <c r="I9" i="9"/>
  <c r="J9" i="20"/>
  <c r="I9"/>
  <c r="K9"/>
  <c r="I9" i="7"/>
  <c r="I9" i="8"/>
  <c r="K9" i="19"/>
  <c r="J9"/>
  <c r="I9" i="18"/>
  <c r="F9" i="7"/>
  <c r="B410" i="8"/>
  <c r="K9" i="18"/>
  <c r="J9"/>
  <c r="I9" i="24"/>
  <c r="K9" i="8"/>
  <c r="K9" i="7"/>
  <c r="I9" i="23"/>
  <c r="J9"/>
  <c r="J9" i="9"/>
  <c r="J9" i="7"/>
  <c r="J9" i="8"/>
  <c r="N9" i="7"/>
  <c r="I9" i="16"/>
  <c r="N9" i="9"/>
  <c r="N9" i="8"/>
  <c r="J9" i="16"/>
  <c r="M9" i="7"/>
  <c r="H9"/>
  <c r="L9"/>
  <c r="B315" i="8"/>
  <c r="L9" i="9"/>
  <c r="J9" i="14"/>
  <c r="L9"/>
  <c r="M9"/>
  <c r="L9" i="11"/>
  <c r="B74" i="9"/>
  <c r="I9" i="10"/>
  <c r="K9"/>
  <c r="L9"/>
  <c r="B205" i="8"/>
  <c r="B205" i="9"/>
  <c r="K9" i="16"/>
  <c r="B332" i="8"/>
  <c r="B332" i="9"/>
  <c r="D9" i="7"/>
  <c r="B406" i="9"/>
  <c r="B404" s="1"/>
  <c r="D404"/>
  <c r="K9" i="14"/>
  <c r="D324" i="9"/>
  <c r="I9" i="11"/>
  <c r="K9"/>
  <c r="B244" i="9"/>
  <c r="B239" s="1"/>
  <c r="D239"/>
  <c r="P9"/>
  <c r="B11"/>
  <c r="B13"/>
  <c r="O9"/>
  <c r="B324"/>
  <c r="D74"/>
  <c r="G9" i="11"/>
  <c r="J9" s="1"/>
  <c r="B9" i="8" l="1"/>
  <c r="B9" i="7"/>
  <c r="D9" i="9"/>
  <c r="B9" l="1"/>
</calcChain>
</file>

<file path=xl/sharedStrings.xml><?xml version="1.0" encoding="utf-8"?>
<sst xmlns="http://schemas.openxmlformats.org/spreadsheetml/2006/main" count="17452" uniqueCount="1112">
  <si>
    <t>Juzgado Penal del I Circuito Judicial de Alajuela</t>
  </si>
  <si>
    <t>Juzgado Penal del I Circuito Judicial de Alajuela (Sección de Atenas)</t>
  </si>
  <si>
    <t>Juzgado Penal del II Circuito Judicial de Alajuela</t>
  </si>
  <si>
    <t>Juzgado Penal de Upala</t>
  </si>
  <si>
    <t>Juzgado Penal de La Fortuna</t>
  </si>
  <si>
    <t>Juzgado Penal de Los Chiles</t>
  </si>
  <si>
    <t>Juzgado Penal de Grecia</t>
  </si>
  <si>
    <t>Juzgado Penal III Circ. Jud. de Alajuela (San Ramón)</t>
  </si>
  <si>
    <t>Juzgado Penal de Cartago</t>
  </si>
  <si>
    <t>Juzgado Penal de Turrialba</t>
  </si>
  <si>
    <t>Juzgado Penal de La Unión</t>
  </si>
  <si>
    <t>Juzgado Penal de Heredia</t>
  </si>
  <si>
    <t>Juzgado Penal de San Joaquín de Flores</t>
  </si>
  <si>
    <t>Juzgado Penal de Sarapiquí</t>
  </si>
  <si>
    <t>Juzgado Penal I Circuito Judicial de Guanacaste</t>
  </si>
  <si>
    <t>Juzgado Penal de Cañas</t>
  </si>
  <si>
    <t>Segundo  Circuito Judicial de Guanacaste</t>
  </si>
  <si>
    <t>Juzgado Penal II Circ. Jud. Guanacaste</t>
  </si>
  <si>
    <t>Juzgado Penal Santa Cruz</t>
  </si>
  <si>
    <t>Juzgado Penal de Puntarenas</t>
  </si>
  <si>
    <t>Juzgado Penal de Aguirre y Parrita</t>
  </si>
  <si>
    <t>Juzgado Penal de Garabito</t>
  </si>
  <si>
    <t>Juzgado Penal I Circ. Jud. Zona Sur</t>
  </si>
  <si>
    <t>Juzgado Penal de Buenos Aires</t>
  </si>
  <si>
    <t>Juzgado Penal II Circ. Jud. Zona Sur</t>
  </si>
  <si>
    <t>Juzgado Penal de Golfito</t>
  </si>
  <si>
    <t>Juzgado Penal de Osa</t>
  </si>
  <si>
    <t>Juzgado Penal de Coto Brus</t>
  </si>
  <si>
    <t xml:space="preserve">Juzgado Penal del I Circuito Judicial de la Zona Atlántica </t>
  </si>
  <si>
    <t>Juzgado Penal de Bribrí</t>
  </si>
  <si>
    <t>Juzgado Penal de Pococí- Guácimo</t>
  </si>
  <si>
    <t>Juzgado Penal de Siquirres</t>
  </si>
  <si>
    <t>CUADRO N° 20</t>
  </si>
  <si>
    <t>Tribunal Penal</t>
  </si>
  <si>
    <t>Circulante al</t>
  </si>
  <si>
    <t>Tribunal Penal del I Circ. Jud. San José</t>
  </si>
  <si>
    <t>Tribunal Penal del II Circ. Jud. San José</t>
  </si>
  <si>
    <t>Tribunal de Flagrancia del II Circ. Jud. San José</t>
  </si>
  <si>
    <t xml:space="preserve">Tribunal Penal de III Circuito Judicial de San José, sede Suroeste </t>
  </si>
  <si>
    <t>Tribunal Penal del III Circ. Jud. de San José</t>
  </si>
  <si>
    <t>Tribunal del I Circ. Jud de Alajuela</t>
  </si>
  <si>
    <t>Tribunal del II Circ. Jud de Alajuela</t>
  </si>
  <si>
    <t>Tribunal del III Circ. Jud de Alajuela (San Ramón)</t>
  </si>
  <si>
    <t xml:space="preserve">Tribunal de Cartago </t>
  </si>
  <si>
    <t>Tribunal de Cartago, sede Turrialba</t>
  </si>
  <si>
    <t>Tribunal de Heredia</t>
  </si>
  <si>
    <t>Tribunal de Heredia, sede Sarapiquí</t>
  </si>
  <si>
    <t>Tribunal I Circ. Jud. Guanacaste</t>
  </si>
  <si>
    <t>Tribunal I Circ. Jud. Guanacaste, sede Cañas</t>
  </si>
  <si>
    <t>Tribunal del II Circuito Judicial de Guanacaste</t>
  </si>
  <si>
    <t>Tribunal del II Circ. Jud. Guanacaste, sede Santa Cruz</t>
  </si>
  <si>
    <t>Tribunal de Puntarenas</t>
  </si>
  <si>
    <t>Tribunal de Puntarenas, sede Aguirre y Parrita</t>
  </si>
  <si>
    <t>Tribunal I Circ. Jud. Zona Sur</t>
  </si>
  <si>
    <t>Tribunal II Circ. Jud. Zona Sur, sede Golfito</t>
  </si>
  <si>
    <t>Tribunal II Circ. Jud. Zona Sur, sede Osa</t>
  </si>
  <si>
    <t>Tribunal II Circ. Jud. Zona Sur, sede Corredores</t>
  </si>
  <si>
    <t>Tribunal del I Circ. Jud de la Zona Atlántica</t>
  </si>
  <si>
    <t>Tribunal del II Circ. Jud de la Zona Atlántica</t>
  </si>
  <si>
    <t>CUADRO Nº 21</t>
  </si>
  <si>
    <t>Fiscalía Penal Juvenil</t>
  </si>
  <si>
    <t>Adjunto Penal Juvenil San José</t>
  </si>
  <si>
    <t>Puriscal</t>
  </si>
  <si>
    <t>I Circuito Alajuela</t>
  </si>
  <si>
    <t>II Circuito Alajuela (San Carlos)</t>
  </si>
  <si>
    <t>San Ramón</t>
  </si>
  <si>
    <t>Guanacaste (Liberia)</t>
  </si>
  <si>
    <t>Santa Cruz</t>
  </si>
  <si>
    <t>Zona Sur (Pérez Zeledón)</t>
  </si>
  <si>
    <t>Corredores</t>
  </si>
  <si>
    <t>I Circuito Judicial de Zona Atlántica</t>
  </si>
  <si>
    <t>I Circuito Zona Atlántica (Limón)</t>
  </si>
  <si>
    <t>II Circuito Judicial de Zona Atlántica</t>
  </si>
  <si>
    <t>II Circuito Zona Atlántica (Pococí)</t>
  </si>
  <si>
    <t>CUADRO N° 22</t>
  </si>
  <si>
    <t>Juzgado Penal Juvenil</t>
  </si>
  <si>
    <t>Penal Juvenil San José</t>
  </si>
  <si>
    <t>Civil, Trabajo y Famila Puriscal</t>
  </si>
  <si>
    <t xml:space="preserve">Penal Juvenil I Circuito Judicial Alajuela </t>
  </si>
  <si>
    <t xml:space="preserve">Familia y Penal Juvenil II Circ. Jud. Alajuela </t>
  </si>
  <si>
    <t>Familia, Penal Juvenil y Viol. Domést. Grecia</t>
  </si>
  <si>
    <t xml:space="preserve">Fam., P. Juv. y Viol. Dom. III Cir. Jud. Alajuela (S. Ramón) </t>
  </si>
  <si>
    <t xml:space="preserve">Penal Juvenil Cartago </t>
  </si>
  <si>
    <t>Familia, Penal Juvenil y Violencia Doméstica Turrialba</t>
  </si>
  <si>
    <t xml:space="preserve"> Penal Juvenil Heredia </t>
  </si>
  <si>
    <t>Familia, Penal Juvenil y Viol. Dom. I Circ. Jud. Guanacaste</t>
  </si>
  <si>
    <t>Familia, Penal Juvenil y Violencia Doméstica de Cañas</t>
  </si>
  <si>
    <t>Familia, Penal Juvenil y Viol. Dom. II Circ. Jud. Guanacaste</t>
  </si>
  <si>
    <t>Familia, Penal Juvenil y Violencia Doméstica de Santa Cruz</t>
  </si>
  <si>
    <t>Penal Juvenil Puntarenas</t>
  </si>
  <si>
    <t>Civil, Trabajo y Familia Aguirre</t>
  </si>
  <si>
    <t>Familia y Penal Juvenil I Circuito Judicial  Zona Sur</t>
  </si>
  <si>
    <t>Civil, Trabajo y Familia de Buenos Aires</t>
  </si>
  <si>
    <t>Civil, Trabajo y Familia Osa</t>
  </si>
  <si>
    <t>Civil, Trabajo y Familia Golfito</t>
  </si>
  <si>
    <t>Familia, Penal Juvenil y Viol. Dom. II Circ. Judicial  Zona Sur</t>
  </si>
  <si>
    <t>Penal Juvenil I Circuito Judicial Zona Atlántica</t>
  </si>
  <si>
    <t>CUADRO N° 23</t>
  </si>
  <si>
    <t>Juzgado Contravencional del I Cir. Jud. de San José</t>
  </si>
  <si>
    <t>Juzgado Contravencional del II Cir. Jud. de San José</t>
  </si>
  <si>
    <t>Juzgado Contravencional del III Circ.Jud San José</t>
  </si>
  <si>
    <t>Juzgado Contravencional del I Cir. Jud. de Alajuela</t>
  </si>
  <si>
    <t>Juzgado de Cobro, Menor cuantía y Contravencional de Grecia</t>
  </si>
  <si>
    <t>Juzgado Contravencional de Cartago</t>
  </si>
  <si>
    <t>Juzgado Contravencional de Heredia</t>
  </si>
  <si>
    <t>Juzgado Contrav. y Pensiones Alimentarias I CJ Guanacaste</t>
  </si>
  <si>
    <t>Jdo. Contrav. y Pensiones Aliment. II Circ. Jud. Guanacaste</t>
  </si>
  <si>
    <t>Juzgado Contravencional y Pensiones Alim. de Santa Cruz</t>
  </si>
  <si>
    <t>Juzgado Contravencional de Puntarenas</t>
  </si>
  <si>
    <t>Los Chiles.........................................................................................................................</t>
  </si>
  <si>
    <t>Guatuso............................................................................................................................</t>
  </si>
  <si>
    <t>La Fortuna...........................................................................................</t>
  </si>
  <si>
    <t>La Unión............................................................................................................................</t>
  </si>
  <si>
    <t>Paraíso..............................................................................................................................</t>
  </si>
  <si>
    <t>Alvarado...........................................................................................................................</t>
  </si>
  <si>
    <t>Turrialba............................................................................................................................</t>
  </si>
  <si>
    <t>Jiménez.............................................................................................................................</t>
  </si>
  <si>
    <t>Santo Domingo.................................................................................................................</t>
  </si>
  <si>
    <t>San Rafael........................................................................................................................</t>
  </si>
  <si>
    <t>San Isidro.........................................................................................................................</t>
  </si>
  <si>
    <t>San Joaquín de Flores...............................................................................</t>
  </si>
  <si>
    <t>Contra Trata de Personas</t>
  </si>
  <si>
    <t>Flagrancia de Heredia.......................................................................................................</t>
  </si>
  <si>
    <t>Juzgado Notarial……………………………………………………………………………………..</t>
  </si>
  <si>
    <t>Sala Constitucional.........................................................................................................</t>
  </si>
  <si>
    <t>Flagrancia Primer Circuito San José................................................................................</t>
  </si>
  <si>
    <t>Pavas..............................................................................................................................</t>
  </si>
  <si>
    <t>Flagrancia II Circuito San José........................................................................................</t>
  </si>
  <si>
    <t>Flagrancia Primer Circuito Alajuela.................................................................................</t>
  </si>
  <si>
    <t>Segundo Circuito Alajuela................................................................................................</t>
  </si>
  <si>
    <t>Flagrancia Segundo Circuito Alajuela...............................................................................</t>
  </si>
  <si>
    <t>Flagrancia de Cartago......................................................................................................</t>
  </si>
  <si>
    <t>Juzgado Contr. y Pens. Alimen. III Circ. Jud. Alajuela (San Ramón)</t>
  </si>
  <si>
    <t>Juzgado Contrav. y  de Menor Cuantía de Palmares</t>
  </si>
  <si>
    <t>Juzgado de Pensiones Alimentarias de Cartago</t>
  </si>
  <si>
    <t>Juzgado de Pensiones y Viol. Dom. de La Unión</t>
  </si>
  <si>
    <t>Juzgado de Pensiones Alimentarias de Heredia</t>
  </si>
  <si>
    <t>Juzgado de Pensiones y Viol. Dom. San Joaquín de Flores</t>
  </si>
  <si>
    <t>Juzgado Contrav. y de Menor Cuantía de Santo Domingo</t>
  </si>
  <si>
    <t xml:space="preserve">Juzgado Contrav. y Pensiones Alimentarias I CJ Guanacaste </t>
  </si>
  <si>
    <t>Juzgado Contravencional y de Menor Cuantía de Bagaces</t>
  </si>
  <si>
    <t>Juzgado Contravencional y de Menor Cuantía de Cañas</t>
  </si>
  <si>
    <t>Juzgado Contravencional y de Menor Cuantía de Abangares</t>
  </si>
  <si>
    <t>Juzgado Contrav. y Pensiones Aliment. II Circ. Jud. Guanacaste (Nicoya)</t>
  </si>
  <si>
    <t>Juzgado Contrav. y de Menor Cuantía de Carrillo</t>
  </si>
  <si>
    <t>Juzgado de Pensiones Alimentarias de Puntarenas</t>
  </si>
  <si>
    <t>Juzgado Contrav. y de Menor Cuantía de Garabito</t>
  </si>
  <si>
    <t>Juzgado Contrav. y de Pensiones Alimen. I Circ. Jud. Zona Sur</t>
  </si>
  <si>
    <t>Juzgado Contr. y Men. Cuantía de Buenos Aires</t>
  </si>
  <si>
    <t>Segunda Circuito Judicial de la Zona Sur</t>
  </si>
  <si>
    <t>Juzgado Contravencional y de Menor Cuantía de Bribrí</t>
  </si>
  <si>
    <t>Juzgado de Pensiones y Violencia Doméstica de Siquirres</t>
  </si>
  <si>
    <t>CUADRO N° 16</t>
  </si>
  <si>
    <t>Testimonios</t>
  </si>
  <si>
    <t>de Piezas</t>
  </si>
  <si>
    <t>Primero San José</t>
  </si>
  <si>
    <t>Zona Sur (Pérez Zeledón).......................................................................................................................</t>
  </si>
  <si>
    <t>Cartago....................................................................................................</t>
  </si>
  <si>
    <t>Segundo Circuito Alajuela...........................................................................................................................</t>
  </si>
  <si>
    <t>Liberia..................................................................................................................................</t>
  </si>
  <si>
    <t>Santa Cruz..................................................................................................................................</t>
  </si>
  <si>
    <t>Corredores..........................................................................................................................</t>
  </si>
  <si>
    <t>Primer Circuito Zona Atlántica...................................................................................................................................</t>
  </si>
  <si>
    <t>Segundo Circuito Zona Atlántica..................................................................................................................................</t>
  </si>
  <si>
    <t>Trabajo de Mayor Cuantía</t>
  </si>
  <si>
    <t>Especializado de Seguridad Social…………………………………….</t>
  </si>
  <si>
    <t>Segundo Circuito San José (Electrónico).................................................................................</t>
  </si>
  <si>
    <t>Primer Circuito Alajuela..............................................................</t>
  </si>
  <si>
    <t>Cartago.........................................................................................................</t>
  </si>
  <si>
    <t>Heredia..............................................................................................................................</t>
  </si>
  <si>
    <t>Primer Circuito Zona Atlántica..........................................................................</t>
  </si>
  <si>
    <t>Segundo Circuito Zona Atlántica..........................................................................</t>
  </si>
  <si>
    <t xml:space="preserve"> </t>
  </si>
  <si>
    <t>Pavas..........................................................................................................</t>
  </si>
  <si>
    <t>Puriscal............................................................................................................................</t>
  </si>
  <si>
    <t>Zona Sur (Pérez Zeledón)....................................................................................</t>
  </si>
  <si>
    <t>Atenas………………………………………………………………..</t>
  </si>
  <si>
    <t>Grecia.....................................................................................................</t>
  </si>
  <si>
    <t>San Ramón....................................................................................</t>
  </si>
  <si>
    <t>Segundo Circuito Alajuela......................................................................................................</t>
  </si>
  <si>
    <t>La Fortuna…………………………………………………………..</t>
  </si>
  <si>
    <t>Turrialba...................................................................................................</t>
  </si>
  <si>
    <t>La Unión......................................................................................................</t>
  </si>
  <si>
    <t>San Joaquín de Flores....................................................................................</t>
  </si>
  <si>
    <t>Sarapiquí....................................................................................</t>
  </si>
  <si>
    <t>Liberia.......................................................................................................</t>
  </si>
  <si>
    <t>Cañas..................................................................................................................................</t>
  </si>
  <si>
    <t>Nicoya..................................................................................................................................</t>
  </si>
  <si>
    <t>Santa Cruz....................................................................................</t>
  </si>
  <si>
    <t>Puntarenas....................................................................................</t>
  </si>
  <si>
    <t>Aguirre-Parrita.................................................................................</t>
  </si>
  <si>
    <t>Garabito................................................................................................</t>
  </si>
  <si>
    <t>Corredores.................................................................................</t>
  </si>
  <si>
    <t>Trám. Flagrancias II Circuito Guanacaste (Santa Cruz)</t>
  </si>
  <si>
    <t>Adjunta I Circuito Puntarenas</t>
  </si>
  <si>
    <t>Trám. Flagrancias I Circuito Puntarenas</t>
  </si>
  <si>
    <t>Cóbano - Jicaral</t>
  </si>
  <si>
    <t>Garabito</t>
  </si>
  <si>
    <t>Aguirre y Parrita</t>
  </si>
  <si>
    <t>I Circuito Judicial Zona Sur</t>
  </si>
  <si>
    <t>Adjunta I Circuito Zona Sur (Pérez Zeledón)</t>
  </si>
  <si>
    <t>Flagrancia Adjunta I Circ. Jud. Zona Sur</t>
  </si>
  <si>
    <t>Buenos Aires</t>
  </si>
  <si>
    <t>II Circuito Judicial Zona Sur</t>
  </si>
  <si>
    <t>Adjunta II Circ. Jud. Zona Sur (Corredores)</t>
  </si>
  <si>
    <t>Trám. Flagrancias II Circuito Zona Sur (Corredores)</t>
  </si>
  <si>
    <t>Golfito</t>
  </si>
  <si>
    <t>Osa</t>
  </si>
  <si>
    <t>Protección de Osa</t>
  </si>
  <si>
    <t>Coto Brus</t>
  </si>
  <si>
    <t>I Circuito Judicial Zona Atlántica</t>
  </si>
  <si>
    <t>Adjunta I Circuito Zona Atlántica (Limón)</t>
  </si>
  <si>
    <t>Trám. Flagrancias I Circuito Zona Atlántica (Limón)</t>
  </si>
  <si>
    <t>Bribrí</t>
  </si>
  <si>
    <t>II Circuito Judicial Zona Atlántica</t>
  </si>
  <si>
    <t>Adjunta II Circuito Zona Atlántica (Pococí)</t>
  </si>
  <si>
    <t>Trám. Flagrancias II Circuito Zona Atlántica (Pococí)</t>
  </si>
  <si>
    <t>Siquirres</t>
  </si>
  <si>
    <t>CUADRO N° 19</t>
  </si>
  <si>
    <t>CUADRO N° 1</t>
  </si>
  <si>
    <t>Circuito Judicial</t>
  </si>
  <si>
    <t>Total</t>
  </si>
  <si>
    <t>Materia</t>
  </si>
  <si>
    <t>Civil Total</t>
  </si>
  <si>
    <t>Civil Ordinario</t>
  </si>
  <si>
    <t>Cobro Judicial</t>
  </si>
  <si>
    <t>Agraria</t>
  </si>
  <si>
    <t>Conten-ciosa</t>
  </si>
  <si>
    <t>Familia</t>
  </si>
  <si>
    <t>Pensiones Alimentarias</t>
  </si>
  <si>
    <t>Violencia Doméstica</t>
  </si>
  <si>
    <t>Trabajo</t>
  </si>
  <si>
    <t>Penal 1/</t>
  </si>
  <si>
    <t>Penal Juvenil 2/</t>
  </si>
  <si>
    <t>Contraven- ciones</t>
  </si>
  <si>
    <t>Tránsito</t>
  </si>
  <si>
    <t>Constitu-cional</t>
  </si>
  <si>
    <t>Notarial 3/</t>
  </si>
  <si>
    <t xml:space="preserve">Primero de San José </t>
  </si>
  <si>
    <t>---</t>
  </si>
  <si>
    <t>Segundo de San José</t>
  </si>
  <si>
    <t>Tercero de San José</t>
  </si>
  <si>
    <t xml:space="preserve">Primero de Alajuela </t>
  </si>
  <si>
    <t xml:space="preserve">Segundo de Alajuela </t>
  </si>
  <si>
    <t xml:space="preserve">Tercero de Alajuela </t>
  </si>
  <si>
    <t>Cartago</t>
  </si>
  <si>
    <t xml:space="preserve">Heredia </t>
  </si>
  <si>
    <t xml:space="preserve">Primero de Guanacaste </t>
  </si>
  <si>
    <t xml:space="preserve">Segundo de Guanacaste </t>
  </si>
  <si>
    <t>Puntarenas</t>
  </si>
  <si>
    <t xml:space="preserve">Primero de la Zona Sur </t>
  </si>
  <si>
    <t xml:space="preserve">Segundo de la Zona Sur </t>
  </si>
  <si>
    <t>Primero de la Zona Atlántica</t>
  </si>
  <si>
    <t>Segundo de la Zona Atlántica</t>
  </si>
  <si>
    <t>1/ Corresponde a la entrada en las oficinas del Ministerio Público y delitos de acción privada entrados en los Tribunales Penales.</t>
  </si>
  <si>
    <t>2/ Corresponde a la entrada en el Ministerio Público (Fiscalías Penales Juveniles).</t>
  </si>
  <si>
    <t xml:space="preserve">3/ Corresponde a la entrada en el Juzgado Notarial. </t>
  </si>
  <si>
    <t>CUADRO N° 2</t>
  </si>
  <si>
    <t>1/ Corresponde a los terminados del Ministerio Público (se incluyen: acumulados, archivos fiscales e incompetencias), Juzgados (se incluyen: sobreseimientos definitivos y provisionales, desestimaciones ordinarias y orales, acumulaciones</t>
  </si>
  <si>
    <t xml:space="preserve">    y conversiones de la acción) y Tribunales Penales (se incluyen todos los casos terminados). </t>
  </si>
  <si>
    <t>Juzgado Primero Civil de Menor Cuantía de San José</t>
  </si>
  <si>
    <t>Juzgado Segundo Civil de Menor Cuantía de San José</t>
  </si>
  <si>
    <t>Juzgado Contr. y Men. Cuantía de Mora</t>
  </si>
  <si>
    <t>Juzgado Contr. y Men. Cuantía de Puriscal</t>
  </si>
  <si>
    <t>Juzgado Contr. y Men. Cuantía de Turrubares</t>
  </si>
  <si>
    <t>Juzgado Contravencional y Menor Cuantía Escazú</t>
  </si>
  <si>
    <t>Juzgado Contr. y Men. Cuant. Santa Ana</t>
  </si>
  <si>
    <t>Juzgado Contravencional y Menor Cuantía de Pavas</t>
  </si>
  <si>
    <t>Segundo Circuito Judicial de San José</t>
  </si>
  <si>
    <t>Juzgado Civil II Circuito San José</t>
  </si>
  <si>
    <t>Juzgado Civil  Menor Cuantía II Circuito San José</t>
  </si>
  <si>
    <t>Tercer Circuito Judicial de San José</t>
  </si>
  <si>
    <t>Juzgado Civil y Trabajo del III Circ. Jud. De San José</t>
  </si>
  <si>
    <t xml:space="preserve">Juzgado Civil, Trab., y Fam. Hatillo, San Seb. y Alajuelita </t>
  </si>
  <si>
    <t>Juzgado Menor Cuantía III Circ. Jud. San José</t>
  </si>
  <si>
    <t>Juzgado Contr. y Men. Cuantía de Hatillo</t>
  </si>
  <si>
    <t>Juzgado Contr. y Men. Cuantía de San Sebastián</t>
  </si>
  <si>
    <t>Juzgado Contr. y Men. Cuantía de Alajuelita</t>
  </si>
  <si>
    <t>Juzgado Contr. y Men. Cuantía de Aserrí</t>
  </si>
  <si>
    <t>Juzgado Contr. y Men. Cuantía de Acosta</t>
  </si>
  <si>
    <t>Primer Circuito Judicial de Alajuela</t>
  </si>
  <si>
    <t>Juzgado Civil I Circuito Jud. Alajuela</t>
  </si>
  <si>
    <t>Juzgado de Cobro Menor Cuantía del I Circ. Jud. de Alajuela (Civil)</t>
  </si>
  <si>
    <t>Juzgado Contrav. y Menor Cuantía de Poás</t>
  </si>
  <si>
    <t>Juzgado Contrav. y Menor Cuantía de Atenas</t>
  </si>
  <si>
    <t>Juzgado Contrav. y de Menor Cuantía de San Mateo</t>
  </si>
  <si>
    <t>Juzgado Contrav. y de Menor Cuantía de Orotina</t>
  </si>
  <si>
    <t>Segundo Circuito Judicial de Alajuela</t>
  </si>
  <si>
    <t>Juzgado Civil y de Trabajo del II Cir. Jud. de Alajuela</t>
  </si>
  <si>
    <t>Juzgado de Menor Cuantía del II Circ. Jud. de Alajuela</t>
  </si>
  <si>
    <t>Juzgado Contrav. y de Menor Cuantía de Upala</t>
  </si>
  <si>
    <t xml:space="preserve">Juzgado Contrav. y de Menor Cuantía de Los Chiles </t>
  </si>
  <si>
    <t>Juzgado Contrav. y de Menor Cuantía de Guatuso</t>
  </si>
  <si>
    <t>Juzgado Contrav. y de Men. Cuantía de La Fortuna</t>
  </si>
  <si>
    <t>Tercer Circuito Judicial de Alajuela</t>
  </si>
  <si>
    <t>Juzgado Civil y Trab. III Circ. Jud. Alajuela (San Ramón)</t>
  </si>
  <si>
    <t>Juzgado Civil y Trabajo de Grecia</t>
  </si>
  <si>
    <t>Juzgado de Menor Cuantía del III Circ. Jud. Alajuela (San Ramón)</t>
  </si>
  <si>
    <t>Juzgado de Menor Cuantia y Contrav. de Grecia</t>
  </si>
  <si>
    <t>Juzgado Contrav. y de Menor Cuantía de Alfaro Ruiz</t>
  </si>
  <si>
    <t>Juzgado Contrav. y de Menor Cuantía de Valverde Vega</t>
  </si>
  <si>
    <t>Juzgado Contrav. y de Menor Cuantía de Naranjo</t>
  </si>
  <si>
    <t>Juzgado Contrav. y de Menor Cuantía de Palmares</t>
  </si>
  <si>
    <t>Circuito Judicial de Cartago</t>
  </si>
  <si>
    <t>Juzgado Civil de Cartago</t>
  </si>
  <si>
    <t>Juzgado Civil, Trabajo y Agrario de Turrialba</t>
  </si>
  <si>
    <t>Juzgado Civil de Menor Cuantía de Cartago</t>
  </si>
  <si>
    <t>Juzgado Contrav. y de Menor Cuantía de La Unión</t>
  </si>
  <si>
    <t>Juzgado Contrav. y de Menor Cuantía de Paraíso</t>
  </si>
  <si>
    <t>Juzgado Contrav. y de Menor Cuantía de Alvarado</t>
  </si>
  <si>
    <t>Juzgado Contrav. y de Menor Cuantía de Turrialba</t>
  </si>
  <si>
    <t>Juzgado Contrav. y de Menor Cuantía de Jiménez</t>
  </si>
  <si>
    <t>Juzgado Contr. y Men Cuant. Tarrazú, Dota.</t>
  </si>
  <si>
    <t>Tribunal Menor Cuantía Santa Cruz..........................................</t>
  </si>
  <si>
    <t>Tribunal Menor Cuantía Puntarenas..........................................</t>
  </si>
  <si>
    <t>Tribunal Menor Cuantía Primer Circuito Zona Atlántica......................</t>
  </si>
  <si>
    <t>Faltas y Contravenciones</t>
  </si>
  <si>
    <t>Segundo Circuito San José.......................................................................................................</t>
  </si>
  <si>
    <t>Zona Sur (Pérez Zeledón)...............................................................</t>
  </si>
  <si>
    <t>Primer Circuito Alajuela.............................................................................................................................</t>
  </si>
  <si>
    <t>Segundo Circuito Alajuela........................................................................................................................</t>
  </si>
  <si>
    <t>Cartago..........................................................................................................................</t>
  </si>
  <si>
    <t>Juzgado Penal</t>
  </si>
  <si>
    <t xml:space="preserve">Juzgado Penal del I Circuito Judicial de San José </t>
  </si>
  <si>
    <t>Juzgado Penal de Puriscal</t>
  </si>
  <si>
    <t xml:space="preserve">2/ Corresponde a los terminados del Ministerio Público (se incluyen: acumulados, archivos fiscales, incompetencias y otros motivos) y Juzgados Penales Juveniles (se incluyen todos los casos terminados). </t>
  </si>
  <si>
    <t xml:space="preserve">3/ Corresponde a los terminados en el Juzgado Notarial. </t>
  </si>
  <si>
    <t xml:space="preserve">CUADRO N° 3 </t>
  </si>
  <si>
    <t>1/ Corresponde al circulante final en Fiscalías, Juzgados y Tribunales Penales.</t>
  </si>
  <si>
    <t>2/ Corresponde al circulante final en Fiscalías y Juzgados Penales Juveniles.</t>
  </si>
  <si>
    <t xml:space="preserve">3/ Corresponde al circulante final en el Juzgado Notarial. </t>
  </si>
  <si>
    <t>CUADRO N° 4</t>
  </si>
  <si>
    <t>CASOS ENTRADOS POR MATERIA EN LAS OFICINAS JUDICIALES</t>
  </si>
  <si>
    <t>Civil</t>
  </si>
  <si>
    <t xml:space="preserve">     Civil Ordinarios</t>
  </si>
  <si>
    <t xml:space="preserve">     Cobro Judicial</t>
  </si>
  <si>
    <t>Contenciosa Administrativa</t>
  </si>
  <si>
    <t>Contravencional</t>
  </si>
  <si>
    <t>Constitucional</t>
  </si>
  <si>
    <t xml:space="preserve">Notarial 3/ </t>
  </si>
  <si>
    <t xml:space="preserve">1/ Se refiere a la entrada en las oficinas del Ministerio Público y los delitos de acción privada  </t>
  </si>
  <si>
    <t xml:space="preserve">     ingresados en los Tribunales Penales.</t>
  </si>
  <si>
    <t>2/ Se refiere a la entrada en las oficinas del Ministerio Público.</t>
  </si>
  <si>
    <t xml:space="preserve">3/ Se refiere a la entrada en el Juzgado Notarial. </t>
  </si>
  <si>
    <t>CUADRO N° 5</t>
  </si>
  <si>
    <t>CASOS TERMINADOS POR MATERIA EN LAS OFICINAS JUDICIALES</t>
  </si>
  <si>
    <t>1/ Corresponde a los terminados del Ministerio Público (se incluyen: acumulados, archivos</t>
  </si>
  <si>
    <t xml:space="preserve">    fiscales e incompetencias), Juzgados (se incluyen: sobreseimientos definitivos y provisionales, </t>
  </si>
  <si>
    <t xml:space="preserve">    desestimaciones ordinarias y orales, acumulaciones y conversiones de la acción) </t>
  </si>
  <si>
    <t xml:space="preserve">    y Tribunales Penales (se incluyen todos los terminados).</t>
  </si>
  <si>
    <t xml:space="preserve">2/ Corresponde a los terminados del Ministerio Público (se incluyen: acumulados, archivos fiscales, </t>
  </si>
  <si>
    <t xml:space="preserve">     incompetencias y otros motivos) y Juzgados Penales Juveniles (se incluyen todos los terminados).</t>
  </si>
  <si>
    <t>CUADRO N° 6</t>
  </si>
  <si>
    <t>CIRCULANTE AL FINALIZAR EL AÑO POR MATERIA EN LAS</t>
  </si>
  <si>
    <t>OFICINAS JUDICIALES DE PRIMERA INSTANCIA</t>
  </si>
  <si>
    <t xml:space="preserve">     Civil Ordinario</t>
  </si>
  <si>
    <t>1/ Se refiere al circulante existente en Fiscalías, Juzgados y Tribunales Penales.</t>
  </si>
  <si>
    <t>2/ Se refiere al circulante existente en Fiscalías y Juzgados Penales Juveniles.</t>
  </si>
  <si>
    <t xml:space="preserve">3/ Se refiere al circulante existente en el Juzgado Notarial. </t>
  </si>
  <si>
    <t>Oficina Judicial</t>
  </si>
  <si>
    <t>Cobro</t>
  </si>
  <si>
    <t>Conten-</t>
  </si>
  <si>
    <t>Agrario</t>
  </si>
  <si>
    <t>Contraven-</t>
  </si>
  <si>
    <t>Pensiones</t>
  </si>
  <si>
    <t>Penal</t>
  </si>
  <si>
    <t>Violencia</t>
  </si>
  <si>
    <t>Constitu-</t>
  </si>
  <si>
    <t>Notarial</t>
  </si>
  <si>
    <t>cioso</t>
  </si>
  <si>
    <t>cional</t>
  </si>
  <si>
    <t>Alimentarias</t>
  </si>
  <si>
    <t>Juvenil 2/</t>
  </si>
  <si>
    <t>Doméstica</t>
  </si>
  <si>
    <t>-</t>
  </si>
  <si>
    <t>Tribunales Penales</t>
  </si>
  <si>
    <t>Primer Circuito San José...................................................................................................</t>
  </si>
  <si>
    <t>Desamparados.........................................................................................................................................</t>
  </si>
  <si>
    <t>Segundo Circuito San José...........................................................................................................................................................</t>
  </si>
  <si>
    <t>Juzgado Agrario del III Circ. Jud. Alajuela (San Ramón)</t>
  </si>
  <si>
    <t>Juzgado Agrario de Cartago</t>
  </si>
  <si>
    <t>Juzgado Agrario I Circ. Jud. Guanacaste</t>
  </si>
  <si>
    <t>Juzgado Agrario II Circ. Jud. Guanacaste</t>
  </si>
  <si>
    <t>Juzgado Civil y Agrario de Puntarenas</t>
  </si>
  <si>
    <t>Juzgado Agrario del I Circuito Judicial de la Zona Sur</t>
  </si>
  <si>
    <t>Juzgado Agrario II Cir. Jud. Zona Sur</t>
  </si>
  <si>
    <t>Juzgado Agrario del I Circ. Jud. De la Zona Atlántica</t>
  </si>
  <si>
    <t>Juzgado Agrario del II Circ. Jud. de la Zona Atlántica</t>
  </si>
  <si>
    <t>CUADRO N° 13</t>
  </si>
  <si>
    <t>Legajos de</t>
  </si>
  <si>
    <t>Ejecución</t>
  </si>
  <si>
    <t>Contencioso Administrativo y Civil de Hacienda (Anterior Legislación)</t>
  </si>
  <si>
    <t>Contencioso Administrativo y Civil de Hacienda (Nueva Legislación)</t>
  </si>
  <si>
    <t>Tribunal Procesal Contencioso Administrativo (Nueva Legislación)</t>
  </si>
  <si>
    <t>CUADRO N° 14</t>
  </si>
  <si>
    <t>Juzgado Primero de Familia de San José</t>
  </si>
  <si>
    <t>Juzgado Segundo de Familia de San José</t>
  </si>
  <si>
    <t>Juzgado de Familia, de Niñez y Adolescencia</t>
  </si>
  <si>
    <t xml:space="preserve">Juzgado Civil, Trabajo y Familia de Puriscal </t>
  </si>
  <si>
    <t>Segundo  Circuito Judicial de San José</t>
  </si>
  <si>
    <t>Juzgado de Familia II Circuito Jud. de San José</t>
  </si>
  <si>
    <t xml:space="preserve">Juzgado Civil, Trab. y Fam. Hatillo, San Seb. y Alajuelita </t>
  </si>
  <si>
    <t>Juzgado de Familia del I Circuito Jud. De Alajuela</t>
  </si>
  <si>
    <t>Juzgado de Familia, Penal Juv. Y Viol. Dom. De Grecia</t>
  </si>
  <si>
    <t>Juzgado de Familia de Cartago</t>
  </si>
  <si>
    <t>Juzgado Familia, Penal Juv. Y Viol. Dom. De Turrialba</t>
  </si>
  <si>
    <t>Juzgado de Familia de Heredia</t>
  </si>
  <si>
    <t>Juzgado de Familia, Penal Juv. Y Viol. Dom. De Santa Cruz</t>
  </si>
  <si>
    <t>Juzgado de Familia de Puntarenas</t>
  </si>
  <si>
    <t>Juzgado Civil, Trabajo y Familia de Buenos Aires</t>
  </si>
  <si>
    <t>Juzgado de Familia del I Circuito Judicial de la Zona Atlántica</t>
  </si>
  <si>
    <t>Segundo  Circuito Judicial de la Zona Atlántica</t>
  </si>
  <si>
    <t>CUADRO N° 15</t>
  </si>
  <si>
    <t>Variable</t>
  </si>
  <si>
    <t xml:space="preserve">Juzgado de Pensiones Alimentarias del I Circ. Jud. De San José </t>
  </si>
  <si>
    <t>Juzgado Pensiones y Violencia Doméstica de Escazú</t>
  </si>
  <si>
    <t>Juzgado Contr. y Men. Cuantía de Santa Ana</t>
  </si>
  <si>
    <t>Juzgado de Pensiones Alimentarias II Circ. Jud. De San José</t>
  </si>
  <si>
    <t>Juzgado de Pensiones y Violen. Doméstica de Pavas- Pisav</t>
  </si>
  <si>
    <t>Juzgado de Pensiones Alimentarias III Circ. Jud. De San José</t>
  </si>
  <si>
    <t>Juzgado Pensiones Alimentarias I Cir. Jud. Alajuela</t>
  </si>
  <si>
    <t>Juzgado Contr. y Menor Cuantía de Atenas</t>
  </si>
  <si>
    <t>Juzgado Contraven. y Pensiones Alimen. II Cir. Jud. Alajuela</t>
  </si>
  <si>
    <t>Juzgado Contrav. y de Menor Cuantia de Upala</t>
  </si>
  <si>
    <t>Juzgado Contrav. y de Menor Cuantía de Los Chiles</t>
  </si>
  <si>
    <t>Desamparados....................................................................................</t>
  </si>
  <si>
    <t>Heredia.....................................................................................................</t>
  </si>
  <si>
    <t>Puntarenas...............................................................................................</t>
  </si>
  <si>
    <t>Juzgado Civil y Trabajo del II Circ. Jud. Alajuela (Upala)</t>
  </si>
  <si>
    <t>Juzgado Civil, Laboral y Familia  Sarapiquí</t>
  </si>
  <si>
    <t>Juzgado Contravencional y de Menor Cuantía de Monteverde</t>
  </si>
  <si>
    <t>Juzgado Contrav. y de Menor Cuantía de Monteverde</t>
  </si>
  <si>
    <t>Juzgado Violencia Dom. Hatillo, San Sebastián y Alajuelita</t>
  </si>
  <si>
    <t>Juzgado de Cobro, Menor Cuantía y Contrav. de Golfito, Sede Puerto Jiménez</t>
  </si>
  <si>
    <t xml:space="preserve">Juzgado de Cobro, Menor Cuantía y Contrav. de Golfito, Sede Puerto Jiménez  </t>
  </si>
  <si>
    <t>Adjunta de probidad, transparencia y anticorrupción  cod 621</t>
  </si>
  <si>
    <t xml:space="preserve">Adjunta  de delitos económicos, tributarios y legitimación de capitales cod 618 </t>
  </si>
  <si>
    <t>Fiscalía Adjunta Contra Legitimación de Capitales y extinción de Dominio1068</t>
  </si>
  <si>
    <t>Fiscalía de Trámite de Flagrancia de San José</t>
  </si>
  <si>
    <t>Adjunta Delitos Sexuales y VD</t>
  </si>
  <si>
    <t>Adjunta contra el Crimen Organizado</t>
  </si>
  <si>
    <t>La Fortuna</t>
  </si>
  <si>
    <t>Juzgado Penal de Cóbano</t>
  </si>
  <si>
    <t>Civil y Trabajo II Circuito Judicial de Alajuela (Upala)</t>
  </si>
  <si>
    <t>Civil, Trabajo, Familia, Penal Juvenil Sarapiqui</t>
  </si>
  <si>
    <t>II Primer Circuito San José..........................................................................................................................</t>
  </si>
  <si>
    <t>III Primer Circuito San José..........................................................................................................................</t>
  </si>
  <si>
    <t>IV Primer Circuito San José.......................................................................................................................</t>
  </si>
  <si>
    <t>Segundo Circuito San José........................................................................................................</t>
  </si>
  <si>
    <t>Concursal................................................................................</t>
  </si>
  <si>
    <t>Primer Circuito Alajuela.....................................................................................................</t>
  </si>
  <si>
    <t>Cartago.....................................................................................................</t>
  </si>
  <si>
    <t>Heredia............................................................................................................................</t>
  </si>
  <si>
    <t>Puntarenas.................................................................................................................</t>
  </si>
  <si>
    <t>Primer Circuito Zona Atlántica......................................................................................................................</t>
  </si>
  <si>
    <t>Segundo Circuito Zona Atlántica......................................................................................................................</t>
  </si>
  <si>
    <t>Primero Especializado de Cobro I Circuito Judicial de San José…..................</t>
  </si>
  <si>
    <t>Segundo Especializado de Cobro I Circuito Judicial de San José…..................</t>
  </si>
  <si>
    <t>Especializado Cobro del Estado II Circuito San José.............................................</t>
  </si>
  <si>
    <t>Contencioso</t>
  </si>
  <si>
    <t>Contencioso Administrativo (Anterior Legislación)………..</t>
  </si>
  <si>
    <t>Contencioso Administrativo (Nueva Legislación)…………..</t>
  </si>
  <si>
    <t>Tribunal Procesal Contencioso Administrativo……………..</t>
  </si>
  <si>
    <t>Civil de Hacienda</t>
  </si>
  <si>
    <t>Civil de Hacienda y Asuntos Sumarios..............................................................</t>
  </si>
  <si>
    <t>I Primer Circuito San José...........................................................................................................................</t>
  </si>
  <si>
    <t>II Primer Circuito San José...........................................................................................................................</t>
  </si>
  <si>
    <t>Niñez y Adolescencia......................................................................................</t>
  </si>
  <si>
    <t>Segundo Circuito San José......................................................................................................</t>
  </si>
  <si>
    <t>Adjunta I Circuito Judicial de San Jose</t>
  </si>
  <si>
    <t>Segundo Circuito San José.........................................................................</t>
  </si>
  <si>
    <t>Flagrancia II Circuito Judicial de San José………………………………………….</t>
  </si>
  <si>
    <t>Hatillo.......................................................................................................................</t>
  </si>
  <si>
    <t>Pavas................................................................................................................</t>
  </si>
  <si>
    <t>Pavas (PISAV).....................................................................................</t>
  </si>
  <si>
    <t>Adjunta Penal Juvenil....................................................................................</t>
  </si>
  <si>
    <t>Zona Sur (Pérez Zeledón).............................................................................</t>
  </si>
  <si>
    <t>Coto Brus..............................................................................</t>
  </si>
  <si>
    <t>Primer Circuito Zona Atlántica...................................................................................................</t>
  </si>
  <si>
    <t>Segundo Circuito Zona Atlántica...................................................................................................</t>
  </si>
  <si>
    <t>Bribri.................................................................................................</t>
  </si>
  <si>
    <t>Siquirres..........................................................................................................</t>
  </si>
  <si>
    <t>Penal Juvenil</t>
  </si>
  <si>
    <t>Primer Circuito San José...........................................................................................................................</t>
  </si>
  <si>
    <t>Civiles y de Trabajo</t>
  </si>
  <si>
    <t>Hatillo...............................................................................................</t>
  </si>
  <si>
    <t>Desamparados...............................................................................................................................</t>
  </si>
  <si>
    <t>Grecia.............................................................................................................................</t>
  </si>
  <si>
    <t>San Ramón..................................................................................................................................</t>
  </si>
  <si>
    <t>San Carlos...................................................................................................................................................</t>
  </si>
  <si>
    <t>Turrialba..................................................................................................................................</t>
  </si>
  <si>
    <t>Aguirre..........................................................................................................................</t>
  </si>
  <si>
    <t>Golfito..............................................................................................</t>
  </si>
  <si>
    <t>Osa..............................................................................................</t>
  </si>
  <si>
    <t>Corredores..............................................................................................</t>
  </si>
  <si>
    <t>Familia y Penal Juvenil</t>
  </si>
  <si>
    <t>Zona Sur (Pérez Zeledón).........................................................................................</t>
  </si>
  <si>
    <t>San Ramón....................................................................................................</t>
  </si>
  <si>
    <t>Segundo Circuito Alajuela...................................................................................................</t>
  </si>
  <si>
    <t>Nicoya........................................................................................................................</t>
  </si>
  <si>
    <t>Santa Cruz........................................................................................................................</t>
  </si>
  <si>
    <t>Corredores...............................................................................................</t>
  </si>
  <si>
    <t>Civiles de Menor Cuantía</t>
  </si>
  <si>
    <t>I Primer Circuito San José..................................................................................................................</t>
  </si>
  <si>
    <t>II Primer Circuito San José.........................................................................................</t>
  </si>
  <si>
    <t>Segundo Circuito San José...............................................................................</t>
  </si>
  <si>
    <t>Primer Circuito Alajuela............................................................................................................................</t>
  </si>
  <si>
    <t>Cartago.............................................................................................................................</t>
  </si>
  <si>
    <t>Heredia.............................................................................................................................</t>
  </si>
  <si>
    <t>Puntarenas.......................................................................................................................</t>
  </si>
  <si>
    <t>Primer Circuito Zona Atlántica................................................................................................................................</t>
  </si>
  <si>
    <t>Trabajo de Menor Cuantía</t>
  </si>
  <si>
    <t>Tribunal Menor Cuantía II Circuito San José....................................................................................</t>
  </si>
  <si>
    <t>Tribunal Menor Cuantía Alajuela..........................................</t>
  </si>
  <si>
    <t>Tribunal Menor Cuantía Cartago...........................................</t>
  </si>
  <si>
    <t>Tribunal Menor Cuantía Heredia..........................................</t>
  </si>
  <si>
    <t>San Joaquín………………………………………………………………………………</t>
  </si>
  <si>
    <t>Sarapiqui………………………………………………………………………………</t>
  </si>
  <si>
    <t>Siquirres…………………………………………………………………………………………</t>
  </si>
  <si>
    <t xml:space="preserve">1/ En la materia Penal, los casos terminados se refieren a los que registran las fiscalías del Ministerio Público, juzgados penales y tribunales penales. </t>
  </si>
  <si>
    <t>2/ En la materia Penal Juvenil, los casos terminados se refieren a los que registran las fiscalías penales juveniles del Ministerio Público y los juzgados penales juveniles.</t>
  </si>
  <si>
    <t>CUADRO N° 9</t>
  </si>
  <si>
    <t>Segundo Circuito San José....................................................</t>
  </si>
  <si>
    <t>Cartago..............................................................................</t>
  </si>
  <si>
    <t>Primer Circuito Alajuela…………………………………………….</t>
  </si>
  <si>
    <t>Continuación Cuadro N° 9</t>
  </si>
  <si>
    <t>Segundo Circuito San José....................................................................</t>
  </si>
  <si>
    <t>Penales</t>
  </si>
  <si>
    <t>Buenos Aires ……………………..……………………………………………………</t>
  </si>
  <si>
    <t>Liberia……………………………………………….</t>
  </si>
  <si>
    <t>Nicoya</t>
  </si>
  <si>
    <t>Santa Cruz………………………………………………………</t>
  </si>
  <si>
    <t xml:space="preserve">1/ En la materia Penal, el circulante se refiere al que registran las fiscalías, juzgados y tribunales penales. </t>
  </si>
  <si>
    <t>2/ En la materia Penal Juvenil, el circulante se refiere al que registran las fiscalías y los juzgados penales juveniles.</t>
  </si>
  <si>
    <t>CUADRO N° 10</t>
  </si>
  <si>
    <t>Variables</t>
  </si>
  <si>
    <t>Indicadores de Gestión Judicial</t>
  </si>
  <si>
    <t>Juzgado</t>
  </si>
  <si>
    <t>Activos al</t>
  </si>
  <si>
    <t>Casos</t>
  </si>
  <si>
    <t>Activos</t>
  </si>
  <si>
    <t>Razón de</t>
  </si>
  <si>
    <t>Tasa de</t>
  </si>
  <si>
    <t>Entrados</t>
  </si>
  <si>
    <t>Reentrados</t>
  </si>
  <si>
    <t>Terminados</t>
  </si>
  <si>
    <t>Abandonados</t>
  </si>
  <si>
    <t>Congestión</t>
  </si>
  <si>
    <t>Pendencia</t>
  </si>
  <si>
    <t>Resolución</t>
  </si>
  <si>
    <t>Inactividad</t>
  </si>
  <si>
    <t>Primer Circuito Judicial de San José</t>
  </si>
  <si>
    <t>Juzgado Primero Civil de San José</t>
  </si>
  <si>
    <t>Juzgado Segundo Civil de San José</t>
  </si>
  <si>
    <t>Juzgado Tercero Civil de San José</t>
  </si>
  <si>
    <t>Juzgado Cuarto Civil de San José</t>
  </si>
  <si>
    <t>Juzgado Civil, Trabajo y Familia Puriscal</t>
  </si>
  <si>
    <t xml:space="preserve">Juzgado Concursal </t>
  </si>
  <si>
    <t>Puntarenas.....................................................................................................................</t>
  </si>
  <si>
    <t>Juzgado Penal II Circuito Judicial de San José</t>
  </si>
  <si>
    <t>Juzgado Penal de Hatillo</t>
  </si>
  <si>
    <t>Juzgado Penal del III Circ. Jud. De San José</t>
  </si>
  <si>
    <t>Juzgado Penal de Pavas</t>
  </si>
  <si>
    <t>Zona Sur (Pérez Zeledón).........................................................................................................................................</t>
  </si>
  <si>
    <t>Flagrancia Zona Sur (Pérez Zeledón).........................................................................................................................................</t>
  </si>
  <si>
    <t>Primer Circuito Alajuela.............................................................................................................</t>
  </si>
  <si>
    <t>San Ramón.........................................................................................................................................</t>
  </si>
  <si>
    <t>Flagrancia San Ramón.........................................................................................................................................</t>
  </si>
  <si>
    <t>Grecia.........................................................................................................................................</t>
  </si>
  <si>
    <t>Cartago.........................................................................................................................................</t>
  </si>
  <si>
    <t>Turrialba.........................................................................................................................................</t>
  </si>
  <si>
    <t>Heredia.........................................................................................................................................</t>
  </si>
  <si>
    <t>Sarapiquí.......................................................................................................................................</t>
  </si>
  <si>
    <t>Liberia.........................................................................................................................................</t>
  </si>
  <si>
    <t>Flagrancia Liberia.........................................................................................................................................</t>
  </si>
  <si>
    <t>Cañas........................................................................................................................................</t>
  </si>
  <si>
    <t>Nicoya.........................................................................................................................................</t>
  </si>
  <si>
    <t>Santa Cruz.........................................................................................................................................</t>
  </si>
  <si>
    <t>Flagrancia Santa Cruz.........................................................................................................................................</t>
  </si>
  <si>
    <t>Puntarenas.........................................................................................................................................</t>
  </si>
  <si>
    <t>Aguirre.........................................................................................................................................</t>
  </si>
  <si>
    <t>Golfito........................................................................................................................................</t>
  </si>
  <si>
    <t>Osa.........................................................................................................................................</t>
  </si>
  <si>
    <t>Corredores.........................................................................................................................................</t>
  </si>
  <si>
    <t>Flagrancia Corredores.........................................................................................................................................</t>
  </si>
  <si>
    <t>Flagrancia Segundo Circuito Zona Atlántica..............................................................................</t>
  </si>
  <si>
    <t>Juzgados</t>
  </si>
  <si>
    <t>Civiles de Mayor Cuantía</t>
  </si>
  <si>
    <t>Juzgado Contravencional I Circ. Jud. de la Zona Atlántica</t>
  </si>
  <si>
    <t>CUADRO N° 24</t>
  </si>
  <si>
    <t>Juzgado Tránsito I Circ. Jud. San José</t>
  </si>
  <si>
    <t>Juzgado Tránsito Pavas</t>
  </si>
  <si>
    <t>Juzgado Contr. y Men. Cuantía Santa Ana</t>
  </si>
  <si>
    <t>Juzgado Tránsito II Circ. Jud. San José</t>
  </si>
  <si>
    <t>Juzgado Tránsito III Circ. Jud. De San José</t>
  </si>
  <si>
    <t>Juzgado Tránsito Hatillo</t>
  </si>
  <si>
    <t>Juzgado Tránsito I Circ. Jud. Alajuela</t>
  </si>
  <si>
    <t>Juzgado Tránsito II Circ. Jud. Alajuela</t>
  </si>
  <si>
    <t>Juzgado Tránsito III Circ. Jud. de Alajuela (San Ramón)</t>
  </si>
  <si>
    <t>Juzgado de Tránsito de Grecia</t>
  </si>
  <si>
    <t>Juzgado Tránsito Cartago</t>
  </si>
  <si>
    <t>Juzgado Tránsito Heredia</t>
  </si>
  <si>
    <t>Juzg. Menor Ctía y Trans. I CJ Gte</t>
  </si>
  <si>
    <t>Juzgado de Men. Cuant. y Trans. II Circ. Jud. Guanacaste</t>
  </si>
  <si>
    <t>Juzgado de Menor Cuantía y Tránsito de Santa Cruz</t>
  </si>
  <si>
    <t>Juzgado Tránsito Puntarenas</t>
  </si>
  <si>
    <t>Juzgado Tránsito I Circ. Jud. Zona Sur</t>
  </si>
  <si>
    <t>Juzgado de Cobro, de Menor Cuantía y Contrav. de Golfito</t>
  </si>
  <si>
    <t xml:space="preserve">Juzgado Contrav. y Menor Cuantía de Coto Brus </t>
  </si>
  <si>
    <t>Juzgado Tránsito I Circ. Jud. Zona Atlántica</t>
  </si>
  <si>
    <t>CUADRO N° 25</t>
  </si>
  <si>
    <t>INDICADORES DE GESTIÓN JUDICIAL RELACIONADOS CON</t>
  </si>
  <si>
    <t>Número de</t>
  </si>
  <si>
    <t xml:space="preserve">Circulante inicial </t>
  </si>
  <si>
    <t xml:space="preserve">Casos entrados </t>
  </si>
  <si>
    <t xml:space="preserve">Casos reentrados </t>
  </si>
  <si>
    <t xml:space="preserve">Casos terminados </t>
  </si>
  <si>
    <t xml:space="preserve">Circulante final </t>
  </si>
  <si>
    <t xml:space="preserve">Indicadores de Gestión Judicial </t>
  </si>
  <si>
    <t>Resultados</t>
  </si>
  <si>
    <t>Razón de congestión</t>
  </si>
  <si>
    <t>Tasa de pendencia</t>
  </si>
  <si>
    <t>Tasa de resolución</t>
  </si>
  <si>
    <t>CUADRO N° 26</t>
  </si>
  <si>
    <t>Sarapiquí...........................................................................................................................</t>
  </si>
  <si>
    <t>Bagaces...........................................................................................................................</t>
  </si>
  <si>
    <t>La Cruz............................................................................................................................</t>
  </si>
  <si>
    <t>Cañas...............................................................................................................................</t>
  </si>
  <si>
    <t>Tilarán...............................................................................................................................</t>
  </si>
  <si>
    <t>Abangares........................................................................................................................</t>
  </si>
  <si>
    <t>Nandayure........................................................................................................................</t>
  </si>
  <si>
    <t>Carrillo..............................................................................................................................</t>
  </si>
  <si>
    <t>Hojancha.................................................................................</t>
  </si>
  <si>
    <t>Esparza............................................................................................................................</t>
  </si>
  <si>
    <t>Montes de Oro..................................................................................................................</t>
  </si>
  <si>
    <t>Garabito............................................................................................................................</t>
  </si>
  <si>
    <t>Jicaral...............................................................................................................................</t>
  </si>
  <si>
    <t>Cóbano.............................................................................................................................</t>
  </si>
  <si>
    <t>Aguirre...............................................................................................................</t>
  </si>
  <si>
    <t>Parrita...............................................................................................................</t>
  </si>
  <si>
    <t>Golfito...............................................................................................................................</t>
  </si>
  <si>
    <t>Osa ................................................................................................................................</t>
  </si>
  <si>
    <t>Buenos Aires......................................................................................</t>
  </si>
  <si>
    <t>Coto Brus...........................................................................................</t>
  </si>
  <si>
    <t>Bribrí...................................................................................................</t>
  </si>
  <si>
    <t>Matina....................................................................................................</t>
  </si>
  <si>
    <t>Guácimo..............................................................................................................</t>
  </si>
  <si>
    <t>De Menor Cuantía y Tránsito</t>
  </si>
  <si>
    <t>Liberia.................................................................................................</t>
  </si>
  <si>
    <t>Nicoya..........................................................................................................</t>
  </si>
  <si>
    <t>Fiscalías</t>
  </si>
  <si>
    <t>CUADRO N° 7</t>
  </si>
  <si>
    <t>Flagrancia Zona Sur (Pérez Zeledón).............................................................................</t>
  </si>
  <si>
    <t>Primer Circuito Alajuela...............................................................................</t>
  </si>
  <si>
    <t>Flagrancia I Circuito Judicial de Alajuela…..……………………………………..</t>
  </si>
  <si>
    <t>Atenas.............................................................................................................................</t>
  </si>
  <si>
    <t>Flagrancia San Ramón....................................................................................................</t>
  </si>
  <si>
    <t>Segundo Circuito Alajuela............................................................................</t>
  </si>
  <si>
    <t>Flagrancia Segundo Circuito Alajuela.......................................................</t>
  </si>
  <si>
    <t>La Fortuna................................................................................................................................</t>
  </si>
  <si>
    <t>Guatuso.....................................................................................................................................</t>
  </si>
  <si>
    <t>Flagrancia de Cartago………………………………………………………………..</t>
  </si>
  <si>
    <t>Flagrancia de Heredia…………………………………………………………………</t>
  </si>
  <si>
    <t>San Joaquín de Flores................................................................................................</t>
  </si>
  <si>
    <t>Flagrancia Liberia………………………………………………………………………</t>
  </si>
  <si>
    <t>Nicoya..............................................................................................................................</t>
  </si>
  <si>
    <t>Flagrancia Santa Cruz</t>
  </si>
  <si>
    <t>Flagrancia de Puntarenas...............................................................................</t>
  </si>
  <si>
    <t>Garabito...........................................................................................................</t>
  </si>
  <si>
    <t>Aguirre.....................................................................................................................................</t>
  </si>
  <si>
    <t>Protección Osa............................................................................................</t>
  </si>
  <si>
    <t>Flagrancia Corredores…………………………………………………………………</t>
  </si>
  <si>
    <t>Coto Brus...................................................................................................</t>
  </si>
  <si>
    <t>Buenos Aires..............................................................................................</t>
  </si>
  <si>
    <t>Flagrancia Primer Circuito Zona Atlántica...................................................................................................</t>
  </si>
  <si>
    <t>Bribrí.............................................................................................................</t>
  </si>
  <si>
    <t>Flagrancia Segundo Circuito Zona Atlántica...................................................................................................</t>
  </si>
  <si>
    <t xml:space="preserve">1/ En la materia Penal, la entrada total se refiere a la que registran las fiscalías del Ministerio Público, los juzgados penales y los tribunales penales. </t>
  </si>
  <si>
    <t>2/ En la materia Penal Juvenil, la entrada total se refiere a la que registran las fiscalías penales juveniles del Ministerio Público y los juzgados penales juveniles.</t>
  </si>
  <si>
    <t>CUADRO N° 8</t>
  </si>
  <si>
    <t>Continuación Cuadro N° 8</t>
  </si>
  <si>
    <t>Upala...................................................................................................</t>
  </si>
  <si>
    <t>Los Chiles...................................................................................................</t>
  </si>
  <si>
    <t>Buenos Aires...............................................................................</t>
  </si>
  <si>
    <t>Juzgado de Violencia Dom. del I Circ. Jud. San José</t>
  </si>
  <si>
    <t>Juzgado de Pensiones y Violen. Doméstica de Pavas-Pisav</t>
  </si>
  <si>
    <t>Segundo San José</t>
  </si>
  <si>
    <t>Juzgado Violencia Dom. II Circ. Jud. de San José</t>
  </si>
  <si>
    <t>Tercero San José</t>
  </si>
  <si>
    <t>Juzgado Violencia Dom. III Circ. Jud. de San José</t>
  </si>
  <si>
    <t>Primero Alajuela</t>
  </si>
  <si>
    <t>Juzgado Violencia Dom. I Circ. Jud. de Alajuela</t>
  </si>
  <si>
    <t>Segundo Alajuela</t>
  </si>
  <si>
    <t>Juzgado de Violencia Doméstica II Circ. Jud. de Alajuela</t>
  </si>
  <si>
    <t>Tercero Alajuela</t>
  </si>
  <si>
    <t>Juz. Fam,. Penal Juv. y Viol. Dom.III Circ. Jud. Alajuela (San Ramón)</t>
  </si>
  <si>
    <t>Juzgado de Familia, Penal Juv. y Viol. Dom. de Grecia</t>
  </si>
  <si>
    <t>Juzgado de Violencia Doméstica de Cartago</t>
  </si>
  <si>
    <t>Juzgado Familia, Penal Juv. y Viol. Dom. de Turrialba</t>
  </si>
  <si>
    <t>Heredia</t>
  </si>
  <si>
    <t>Juzgado de Violencia Doméstica de Heredia</t>
  </si>
  <si>
    <t>Primero Guanacaste</t>
  </si>
  <si>
    <t>Segundo Guanacaste</t>
  </si>
  <si>
    <t>Juzgado de Violencia Doméstica de Puntarenas</t>
  </si>
  <si>
    <t>Juzgado Contr. y Men. Cuant. Garabito</t>
  </si>
  <si>
    <t>Primero Zona Sur</t>
  </si>
  <si>
    <t>Segundo Zona Sur</t>
  </si>
  <si>
    <t>Primero Zona Atlántica</t>
  </si>
  <si>
    <t>Juzgado de Violencia Dom. del I Circ. Jud. de la Zona Atlántica</t>
  </si>
  <si>
    <t>Segundo Zona Atlántica</t>
  </si>
  <si>
    <t>Juzgado de Violencia Doméstica II Circ. Jud. de la Zona Atlántica</t>
  </si>
  <si>
    <t>CUADRO N° 17</t>
  </si>
  <si>
    <t xml:space="preserve">Activos al </t>
  </si>
  <si>
    <t>Juzgado Especializado de Seguridad Social</t>
  </si>
  <si>
    <t>Juzgado de Trabajo del I Circ. Jud. de Alajuela</t>
  </si>
  <si>
    <t>Tribunal de Trabajo Menor Ctía. I Circ. Jud. Alajuela</t>
  </si>
  <si>
    <t>Juzgado Civil y Trabajo Grecia</t>
  </si>
  <si>
    <t>Juzgado de Trabajo de Cartago</t>
  </si>
  <si>
    <t>Tribunal de Trabajo de Menor Cuantía de Cartago</t>
  </si>
  <si>
    <t>Juzgado de Trabajo de Heredia</t>
  </si>
  <si>
    <t>Juzgado Menor Cuantía y Tránsito del II Circuito Judicial de Guanacaste</t>
  </si>
  <si>
    <t>Juzgado de Trabajo de Puntarenas</t>
  </si>
  <si>
    <t>Tribunal Trabajo Menor Ctía. I Circ. Jud. Zona Atlántica</t>
  </si>
  <si>
    <t>Juzgado de Trabajo II Circ. Jud. de la Zona Atlántica</t>
  </si>
  <si>
    <t>CUADRO Nº 18</t>
  </si>
  <si>
    <t>Fiscalía</t>
  </si>
  <si>
    <t>I Circuito Judicial de San José</t>
  </si>
  <si>
    <t xml:space="preserve">Unidad de Trámite Rápido     </t>
  </si>
  <si>
    <t>Unidad de Fraudes</t>
  </si>
  <si>
    <t>Adjunta Agrario Ambiental</t>
  </si>
  <si>
    <t xml:space="preserve">Puriscal </t>
  </si>
  <si>
    <t>II Circuito Judicial de San José</t>
  </si>
  <si>
    <t>Adjunta II Circuito San José</t>
  </si>
  <si>
    <t>Trám. Flagrancias II Circuito San José</t>
  </si>
  <si>
    <t>III Circuito Judicial de San José</t>
  </si>
  <si>
    <t>Hatillo</t>
  </si>
  <si>
    <t>Desamparados</t>
  </si>
  <si>
    <t>Pavas</t>
  </si>
  <si>
    <t>Pavas (PISAV)</t>
  </si>
  <si>
    <t>I Circuito Judicial de Alajuela</t>
  </si>
  <si>
    <t>Adjunta I Circuito Alajuela</t>
  </si>
  <si>
    <t>Trám. Flagrancias I Circuito Alajuela</t>
  </si>
  <si>
    <t>Atenas</t>
  </si>
  <si>
    <t>II Circuito Judicial de Alajuela</t>
  </si>
  <si>
    <t>Adjunta II Circuito Alajuela (San Carlos)</t>
  </si>
  <si>
    <t>Trám. Flagrancias II Circuito Alajuela (San Carlos)</t>
  </si>
  <si>
    <t>Los Chiles</t>
  </si>
  <si>
    <t>Guatuso</t>
  </si>
  <si>
    <t>Upala</t>
  </si>
  <si>
    <t>III Circuito Judicial de Alajuela</t>
  </si>
  <si>
    <t>Adjunta III Circuito Alajuela (San Ramón)</t>
  </si>
  <si>
    <t>Trám Flagrancias Adjunta III Circuito Alajuela (San Ramón)</t>
  </si>
  <si>
    <t>Grecia</t>
  </si>
  <si>
    <t>I Circuito Judicial de Cartago</t>
  </si>
  <si>
    <t>Adjunta I Circuito Cartago</t>
  </si>
  <si>
    <t>Trám. Flagrancias I Circuito Cartago</t>
  </si>
  <si>
    <t>La Unión</t>
  </si>
  <si>
    <t>Turrialba</t>
  </si>
  <si>
    <t>Tarrazú</t>
  </si>
  <si>
    <t>I Circuito Judicial de Heredia</t>
  </si>
  <si>
    <t>Adjunta I Circuito Heredia</t>
  </si>
  <si>
    <t>Trám. Flagrancias I Circuito Heredia</t>
  </si>
  <si>
    <t>San Joaquín de Flores</t>
  </si>
  <si>
    <t>Sarapiquí</t>
  </si>
  <si>
    <t>I Circuito Judicial de Guanacaste</t>
  </si>
  <si>
    <t>Adjunta I Circuito Guanacaste (Liberia)</t>
  </si>
  <si>
    <t>Trám. Flagrancias I Circuito Guanacaste (Liberia)</t>
  </si>
  <si>
    <t>Cañas</t>
  </si>
  <si>
    <t>Adjunta II Circuito Guanacaste (Santa Cruz)</t>
  </si>
  <si>
    <t>Segundo Circuito Zona Atlántica............................................................................</t>
  </si>
  <si>
    <t>Pavas........................................................................................................................</t>
  </si>
  <si>
    <t xml:space="preserve">Grecia ....................................................................................................... </t>
  </si>
  <si>
    <t>San Ramón.......................................................................................................................</t>
  </si>
  <si>
    <t>Segundo Circuito Alajuela......................................................................................................................</t>
  </si>
  <si>
    <t>Cartago...............................................................................................................</t>
  </si>
  <si>
    <t>Heredia.......................................................................................................................</t>
  </si>
  <si>
    <t>Puntarenas......................................................................................................................</t>
  </si>
  <si>
    <t>Primer Circuito San José........................................................................................................................</t>
  </si>
  <si>
    <t>Desamparados.............................................................................</t>
  </si>
  <si>
    <t>Primer Circuito Alajuela.....................................................................</t>
  </si>
  <si>
    <t>Cartago ................................................................................................</t>
  </si>
  <si>
    <t>Heredia ....................................................................................................</t>
  </si>
  <si>
    <t>Primer Circuito Zona Atlántica................................................................................</t>
  </si>
  <si>
    <t>Pensiones Alimentarias y Violencia Doméstica</t>
  </si>
  <si>
    <t>Pavas - PISAV………………………………………………………….</t>
  </si>
  <si>
    <t>Escazú…………………………………………………………………………………………..</t>
  </si>
  <si>
    <t>La Unión…………………………………………………………………………………………</t>
  </si>
  <si>
    <t>De Menor Cuantía</t>
  </si>
  <si>
    <t>Zona Sur (Pérez Zeledón).............................................................</t>
  </si>
  <si>
    <t>San Ramón........................................................................................................................</t>
  </si>
  <si>
    <t>Segundo Circuito Zona Atlántica......................................................................</t>
  </si>
  <si>
    <t xml:space="preserve">Contravencional y Menor Cuantía </t>
  </si>
  <si>
    <t>San Sebastián..................................................................................................................</t>
  </si>
  <si>
    <t>Alajuelita...........................................................................................................................</t>
  </si>
  <si>
    <t>Aserrí...............................................................................................................................</t>
  </si>
  <si>
    <t>Acosta..............................................................................................................................</t>
  </si>
  <si>
    <t>Pavas................................................................................................................................</t>
  </si>
  <si>
    <t>Escazú.............................................................................................................................</t>
  </si>
  <si>
    <t>Santa Ana........................................................................................................................</t>
  </si>
  <si>
    <t>Mora.................................................................................................................................</t>
  </si>
  <si>
    <t>Puriscal...................................................................................................</t>
  </si>
  <si>
    <t>Turrubares.......................................................................................................................</t>
  </si>
  <si>
    <t>Tarrazú.............................................................................................................................</t>
  </si>
  <si>
    <t>Grecia..............................................................................................................................</t>
  </si>
  <si>
    <t>Poás..................................................................................................................................</t>
  </si>
  <si>
    <t>Valverde Vega ....................................................................................................................</t>
  </si>
  <si>
    <t>Naranjo.............................................................................................................................</t>
  </si>
  <si>
    <t>Palmares...........................................................................................................................</t>
  </si>
  <si>
    <t>Atenas..............................................................................................................................</t>
  </si>
  <si>
    <t>San Mateo.........................................................................................................................</t>
  </si>
  <si>
    <t>Orotina..............................................................................................................................</t>
  </si>
  <si>
    <t>Upala................................................................................................................................</t>
  </si>
  <si>
    <t>Circuito Judicial de Heredia</t>
  </si>
  <si>
    <t>Juzgado Civil de Heredia</t>
  </si>
  <si>
    <t>Juzgado de Cobro y Menor Cuantía de Heredia (Civil)</t>
  </si>
  <si>
    <t>Juzgado Contr. y Men. Cuant. Sto Domingo</t>
  </si>
  <si>
    <t>Juzgado Contrav. y de Menor Cuantía de San Rafael</t>
  </si>
  <si>
    <t>Juzgado Contrav. y de Menor Cuantía de San Isidro</t>
  </si>
  <si>
    <t>Juzgado Contrav. y de Menor Cuantía de San Joaquín de Flores</t>
  </si>
  <si>
    <t>Juzgado Contr. y Men. Cuant. Sarapiquí</t>
  </si>
  <si>
    <t>Primer Circuito Judicial de Guanacaste</t>
  </si>
  <si>
    <t>Juzgado Civil y Trabajo I Circ. Jud. Guanacaste</t>
  </si>
  <si>
    <t>Juzgado Civil y Trabajo de Cañas</t>
  </si>
  <si>
    <t>Juzgado de Menor Cuantía y Tránsito del I Circ. Jud. Guanacaste</t>
  </si>
  <si>
    <t>Juzgado Contr. y Men. Cuant. Bagaces</t>
  </si>
  <si>
    <t>Juzgado Contravencional y de Menor Cuantía de La Cruz</t>
  </si>
  <si>
    <t>Juzgado Contr. y Men. Cuant. Cañas</t>
  </si>
  <si>
    <t>Juzgado Contravencional y de Menor Cuantía de Tilarán</t>
  </si>
  <si>
    <t>Juzgado Contr. y Men. Cuant. Abangares</t>
  </si>
  <si>
    <t>Segundo Circuito Judicial de Guanacaste</t>
  </si>
  <si>
    <t>Juzgado Civil y Trabajo II Circ. Jud. de Guanacaste</t>
  </si>
  <si>
    <t>Juzgado Civil y Trabajo de Santa Cruz</t>
  </si>
  <si>
    <t>Juzgado Contr. y Men. Cuantía Nandayure</t>
  </si>
  <si>
    <t>Juzgado Contr. y Men. Cuant. Carrillo</t>
  </si>
  <si>
    <t>Juzgado Contravencional y de Menor Cuantía de Hojancha</t>
  </si>
  <si>
    <t>Juzgado Contrav. y de Menor Cuantía de Jicaral</t>
  </si>
  <si>
    <t>Circuito Judicial de Puntarenas</t>
  </si>
  <si>
    <t>Juzgado Civil y Agrario Puntarenas</t>
  </si>
  <si>
    <t>Juzgado Civil, Trabajo y Familia de Aguirre y Parrita</t>
  </si>
  <si>
    <t>Juzgado de Menor Cuantía de Puntarenas</t>
  </si>
  <si>
    <t>Juzgado Contrav. y de Menor Cuantía de Esparza</t>
  </si>
  <si>
    <t>Juzgado Contrav. y de Menor Cuantía de Montes de Oro</t>
  </si>
  <si>
    <t>Juzgado Contrav. y de Menor Cuantía de Aguirre</t>
  </si>
  <si>
    <t>Juzgado Contrav. y de Menor Cuantía de Parrita</t>
  </si>
  <si>
    <t>Juzgado Contravencional y de Menor Cuantía de Cóbano</t>
  </si>
  <si>
    <t>Primer Circuito Judicial de la Zona Sur</t>
  </si>
  <si>
    <t>Juzgado Civil y Trabajo del I Circuito Judicial de la Zona Sur</t>
  </si>
  <si>
    <t>Juzg. Civil, Trabajo y Familia de Buenos Aires</t>
  </si>
  <si>
    <t>Juzgado Contr. y Men. Cuant. Buenos Aires</t>
  </si>
  <si>
    <t>Segundo Circuito Judicial de la Zona Sur</t>
  </si>
  <si>
    <t>Juzgado Civil y Trabajo del II Circ. Jud. Zona Sur</t>
  </si>
  <si>
    <t>Juzgado Civil, Trabajo y Familia de Golfito</t>
  </si>
  <si>
    <t>Juzgado Civil, Trabajo y Familia de Osa</t>
  </si>
  <si>
    <t>Juzgado de Cobro de Menor Cuantía y Contrav. de Golfito</t>
  </si>
  <si>
    <t>Juzgado Contrav. y Menor Cuantía de Osa</t>
  </si>
  <si>
    <t>Juzgado Contr. y Men. Cuantía II Circ. Jud. Zona Sur</t>
  </si>
  <si>
    <t>Juzgado Contrav. y Menor Cuantía de Coto Brus</t>
  </si>
  <si>
    <t>Primer Circuito Judicial de la Zona Atlántica</t>
  </si>
  <si>
    <t>Juzgado Contr. y Men. Cuant. Bribrí</t>
  </si>
  <si>
    <t>Juzgado Contravencional y de Menor Cuantía de Matina</t>
  </si>
  <si>
    <t>Segundo Circuito Judicial de la Zona Atlántica</t>
  </si>
  <si>
    <t>Juzgado Civil del II Circ. Jud. De la Zona Atlántica</t>
  </si>
  <si>
    <t>Juzgado de Cobro y Menor Cuantía de Pococí</t>
  </si>
  <si>
    <t>Juzgado Contravencional y de Menor Cuantía de Guácimo</t>
  </si>
  <si>
    <t>Juzgado Contravencional y Menor Cuantía Siquirres</t>
  </si>
  <si>
    <t>CUADRO N° 11</t>
  </si>
  <si>
    <t>Fenecidos</t>
  </si>
  <si>
    <t>Inactivos</t>
  </si>
  <si>
    <t>TOTAL</t>
  </si>
  <si>
    <t>Juzgado Primero Especializado de Cobro I Circuito Judicial de San José</t>
  </si>
  <si>
    <t>Juzgado Segundo Especializado de Cobro I Circuito Judicial de San José</t>
  </si>
  <si>
    <t>Juzgado Especializado de Cobro II Circuito Judicial de San José</t>
  </si>
  <si>
    <t>II Circuito Judicial de Guanacaste</t>
  </si>
  <si>
    <t>I Circuito Judicial de Zona Sur</t>
  </si>
  <si>
    <t>II Circuito Judicial de Zona Sur</t>
  </si>
  <si>
    <t>CUADRO N° 12</t>
  </si>
  <si>
    <t xml:space="preserve">TOTAL </t>
  </si>
  <si>
    <t>Juzgado Agrario II Circ. Jud. de San José</t>
  </si>
  <si>
    <t>Juzgado Agrario I Circuito Judicial Alajuela</t>
  </si>
  <si>
    <t>Juzgado Agrario del II Circuito Jud. de Alajuela</t>
  </si>
  <si>
    <t>Flagrancia de Puntarenas.................................................................................................</t>
  </si>
  <si>
    <t>Primer Circuito Zona Atlántica......................................................................................</t>
  </si>
  <si>
    <t>Flagrancia del Primer Circuito Zona Atlántica................................................................</t>
  </si>
  <si>
    <t>Segundo Circuito Zona Atlántica....................................................................................</t>
  </si>
  <si>
    <t>Siquirres………………………………………………………………………………………………..</t>
  </si>
  <si>
    <t>Monteverde.............................................................................................................................</t>
  </si>
  <si>
    <t>Upala...................................................................................................................................................</t>
  </si>
  <si>
    <t>Sarapiquí..................................................................................................................................</t>
  </si>
  <si>
    <t>Puerto Jiménez...........................................................................................</t>
  </si>
  <si>
    <t>Cóbano...............................................................................................</t>
  </si>
  <si>
    <t>Primer Circuito Zona Atlántica........................................................................................................</t>
  </si>
  <si>
    <t>Primer Circuito San José......................................................................................................</t>
  </si>
  <si>
    <t>Desamparados.................................................................................................................</t>
  </si>
  <si>
    <t>Hatillo................................................................................................................................</t>
  </si>
  <si>
    <t>Pérez Zeledón.............................................................................................................</t>
  </si>
  <si>
    <t>Segundo Circuito Alajuela (San Carlos)....................................................................................</t>
  </si>
  <si>
    <t>Primer Circuito Zona Atlántica...........................................................................</t>
  </si>
  <si>
    <t>Segundo Circuito Zona Atlántica...........................................................................</t>
  </si>
  <si>
    <t>Agrarios</t>
  </si>
  <si>
    <t>Juzgado Contrav. y de Menor Cuantía de Zarcero</t>
  </si>
  <si>
    <t>Juzgado de Pensiones y Viol. Dom. de La Unión (PISAV)</t>
  </si>
  <si>
    <t>Juzgado Contr. y de Men Cuant. Tarrazú, Dota y León Cortés</t>
  </si>
  <si>
    <t>Juzgado de Pensiones y Viol. Dom. De San Joaquín de Flores</t>
  </si>
  <si>
    <t>Juzgado Contr. Y de Men. Cuant. Sto Domingo</t>
  </si>
  <si>
    <t xml:space="preserve">Juzgado Civil, Trabajo, Familia, Penal Juv. y Viol. Dom. de Sarapiquí </t>
  </si>
  <si>
    <t>Juzgado de Familia y Viol. Dom. I Circ. Jud. Guanacaste</t>
  </si>
  <si>
    <t>Juzgado de Familia, Penal Juvenil y Violencia Doméstica de Cañas</t>
  </si>
  <si>
    <t>Juzgado Contr. y de Men. Cuant. Bagaces</t>
  </si>
  <si>
    <t>Juzgado Contr. y de Men. Cuant. Abangares</t>
  </si>
  <si>
    <t>Juzgado Familia y Viol. Dom. II Circ. Jud. Guanacaste (Nicoya)</t>
  </si>
  <si>
    <t xml:space="preserve">Juzgado Familia, Penal Juv. y Viol. Dom. de Santa Cruz </t>
  </si>
  <si>
    <t>Juzgado Contr. y de Men. Cuantía Nandayure</t>
  </si>
  <si>
    <t>Juzgado Contr. y de Men. Cuant. Carrillo</t>
  </si>
  <si>
    <t>Juzgado Contr. Y de Men. Cuant. Garabito</t>
  </si>
  <si>
    <t xml:space="preserve">Juzgado Violencia Doméstica I Circ. Jud. Zona Sur (Pérez Zeledón)  </t>
  </si>
  <si>
    <t>Juzgado Familia y Viol. Dom. II Circ. Jud. Zona Sur (Corredores)</t>
  </si>
  <si>
    <t>Juzgado Familia, Penal Juv. y Viol. Doméstica de Golfito</t>
  </si>
  <si>
    <t xml:space="preserve">Juzgado de Cobro, Menor Cuantía y Contrav. de Golfito, Sede Puerto Jiménez </t>
  </si>
  <si>
    <t>Juzgado Contr. y de Men. Cuant. Bribrí</t>
  </si>
  <si>
    <t>Juzgado Contrav. y de Men. Cuantía La Fortuna</t>
  </si>
  <si>
    <t>Juzgado de Cobro, Contrav. Y Menor Cuantía de Grecia</t>
  </si>
  <si>
    <t>Juzgado Contr. y Men Cuant. Tarrazú, Dota, y León Cortés</t>
  </si>
  <si>
    <t>Juzgado de Pensiones Alimentarias de Sarapiquí</t>
  </si>
  <si>
    <t>Juzgado Contravencional y Pensiones Alim. De Santa Cruz</t>
  </si>
  <si>
    <t>Juzgado Pensiones Alimentarias I Circ. Jud. Zona Sur</t>
  </si>
  <si>
    <t>Juzgado de Cobro, Menor Cuantía y Contrav. De Golfito</t>
  </si>
  <si>
    <t xml:space="preserve">Juzgado de Cobro, Menor Cuantía y Contrav. de Golfito, Sede Puerto Jimenez </t>
  </si>
  <si>
    <t xml:space="preserve">Juzgado de Pens. Alimentarias del I Circ. Jud. de la Zona Atlántica </t>
  </si>
  <si>
    <t>Juzgado de Pensiones Alimentarias de Pococí</t>
  </si>
  <si>
    <t>Juzgado Contr. y Pens. Alimen. III Circ. Jud. Alajuela (San Ramón) (Expediente físico)</t>
  </si>
  <si>
    <t>Juzgado Contr. y Pens. Alimen. III Circ. Jud. Alajuela (San Ramón) (Expediente electrónico)</t>
  </si>
  <si>
    <t>Juzgado de Familia III Circ. Jud. De San José (Desamparados)</t>
  </si>
  <si>
    <t>Juzgado de Familia del II Circ. Jud. De Alajuela</t>
  </si>
  <si>
    <t>Juzgado Civil y Trabajo del II Circ. Jud. Alajuela, Sede Upala</t>
  </si>
  <si>
    <t>Juz. Familia y Viol. Dom. III Circ. Jud. Alajuela (San Ramón)</t>
  </si>
  <si>
    <t>Juzgado Civil, Trabajo, Familia, Penal Juv. Y Viol. Dom. de Sarapiquí</t>
  </si>
  <si>
    <t xml:space="preserve">Juzgado de Familia y Viol. Dom. I Circ. Jud. Guanacaste (Liberia) </t>
  </si>
  <si>
    <t>Juzgado de Familia, Penal Juvenil y Violencia Dom. De Cañas</t>
  </si>
  <si>
    <t>Juzgado de Familia, Penal Juv. y Viol. Doméstica de Golfito</t>
  </si>
  <si>
    <t>Juzgado de Familia II Circ. Jud. De la Zona Atlántica</t>
  </si>
  <si>
    <t>Juzgado Familia y Viol. Dom. II Cir. Jud. Zona Sur (Corredores)</t>
  </si>
  <si>
    <t>Juzgado de Familia del I Circ. Jud. Zona Sur (Pérez Zeledón)</t>
  </si>
  <si>
    <t>Jdo Civil, Trabajo y Familia Buenos Aires</t>
  </si>
  <si>
    <t>Juzgado Tercero Especializado de Cobro I Circuito Judicial de San José</t>
  </si>
  <si>
    <t>Juzgado Especializado de Cobro II Circuito Judicial de San José, sección Penal de Hacienda y Asuntos Sumarios</t>
  </si>
  <si>
    <t>Juzgado de Cobro y Civil de Menor Cuantía del I Circ. Jud. de Alajuela</t>
  </si>
  <si>
    <t>Juzgado de Cobro y Menor Cuantía del II Circ. Jud. de Alajuela</t>
  </si>
  <si>
    <t>Juzgado de Cobro y  Menor Cuantía III Circuito Judicial de Alajuela (San Ramón)</t>
  </si>
  <si>
    <t>Juzgado de Cobro, Contravencional y  Menor Cuantía Grecia</t>
  </si>
  <si>
    <t xml:space="preserve">Juzgado Especializado de Cobro de Cartago </t>
  </si>
  <si>
    <t>Juzgado de Cobro, Civil y Menor Cuantía de Heredia</t>
  </si>
  <si>
    <t>Juzgado de Cobro, Menor Cuantía y Tránsito del I Circuito Judicial de Guanacaste</t>
  </si>
  <si>
    <t>Juzgado de Cobro y Tránsito II Circuito Judicial Guanacaste (Santa Cruz)</t>
  </si>
  <si>
    <t>Juzgado de Cobro, Civil Menor Cuantía Puntarenas</t>
  </si>
  <si>
    <t>Primer Circuito Judicial de Zona Sur</t>
  </si>
  <si>
    <t>Juzgado de Cobro y Menor Cuantía I Circuito Zona Sur (Perez Zeledón)</t>
  </si>
  <si>
    <t>Segundo Circuito Judicial de Zona Sur</t>
  </si>
  <si>
    <t>Juzgado de Cobro, Contravencional y Menor Cuantía de Golfito</t>
  </si>
  <si>
    <t>Juzgado de Cobro y Civil de Menor Cuantía I Circ. Jud. Zona Atlántica</t>
  </si>
  <si>
    <t>Juzgado de Cobro y Menor Cuantía del II Circuito Judicial de la Zona Atlántica</t>
  </si>
  <si>
    <t xml:space="preserve">Juzgado Contrav. y de Menor Cuantía de Valverde Vega </t>
  </si>
  <si>
    <t xml:space="preserve">Juzgado Menor Cuantía del Primer Circ. Jud. Zona Sur </t>
  </si>
  <si>
    <t>Juzgado de Cobro, Menor Cuantía y Contravencional de Golfito, sede Puerto Jimenez</t>
  </si>
  <si>
    <t>Juzgado Civil  del I Circ. Jud. de la Zona Atlántica</t>
  </si>
  <si>
    <t>Juzgado de Cobro y Civil Menor Cuantía I Circ. Jud. Zona Atlántica</t>
  </si>
  <si>
    <t>Casos inactivos</t>
  </si>
  <si>
    <t>Tasa de inactividad</t>
  </si>
  <si>
    <t>Tribunal Penal del I Circ. Jud. San José, Sección de Flagrancia</t>
  </si>
  <si>
    <t>Tribunal del I Circ. Jud de Alajuela, Sección de Flagrancia</t>
  </si>
  <si>
    <t>Tribunal del II Circ. Jud de Alajuela, Sección de Flagrancia</t>
  </si>
  <si>
    <t>Tribunal del III Circ. Jud de Alajuela, Sección de Flagrancia (San Ramón)</t>
  </si>
  <si>
    <t>Tribunal de Grecia</t>
  </si>
  <si>
    <t>Tribunal de Cartago, Sección de Flagrancia</t>
  </si>
  <si>
    <t>Tribunal de Heredia, Sección de Flagrancia</t>
  </si>
  <si>
    <t>Tribunal I Circ. Jud. Guanacaste, Sección de Flagrancia</t>
  </si>
  <si>
    <t>Tribunal del II Circ. Jud. Guanacaste, Sección de Flagrancia (sede Santa Cruz)</t>
  </si>
  <si>
    <t>Tribunal de Puntarenas, Sección de Flagrancia</t>
  </si>
  <si>
    <t>Tribunal I Circ. Jud. Zona Sur, Sección de Flagrancia</t>
  </si>
  <si>
    <t>Tribunal II Circ. Jud. Zona Sur, sede Corredores (Sección de Flagrancia)</t>
  </si>
  <si>
    <t>Tribunal del I Circ. Jud de la Zona Atlántica, Sección de Flagrancia</t>
  </si>
  <si>
    <t>Tribunal del II Circ. Jud de la Zona Atlántica, Sección de Flagrancia</t>
  </si>
  <si>
    <t>Tribunal del II Circ. Jud de la Zona Atlántica, sede Siquirres</t>
  </si>
  <si>
    <t>La Unión (PISAV)</t>
  </si>
  <si>
    <t>de piezas</t>
  </si>
  <si>
    <t>Tribunal de Trabajo de Menor Cuantía II Circuito San José</t>
  </si>
  <si>
    <t xml:space="preserve">Juzgado Civil, Trabajo y Familia Puriscal </t>
  </si>
  <si>
    <r>
      <t>Juzgado de Trabajo del II Circ. Jud. de San José Sección Primera (166)</t>
    </r>
    <r>
      <rPr>
        <vertAlign val="superscript"/>
        <sz val="16"/>
        <rFont val="Times New Roman"/>
        <family val="1"/>
      </rPr>
      <t>(1)</t>
    </r>
  </si>
  <si>
    <r>
      <t>Juzgado de Trabajo del II Circ. Jud. de San José Sección Segunda (1178)</t>
    </r>
    <r>
      <rPr>
        <vertAlign val="superscript"/>
        <sz val="16"/>
        <rFont val="Times New Roman"/>
        <family val="1"/>
      </rPr>
      <t>(1)</t>
    </r>
  </si>
  <si>
    <t>Juzgado Cobro y Menor Cuantía del II Circ. Jud. de Alajuela</t>
  </si>
  <si>
    <t>Juzgado Contrav. y de Menor Cuantía Upala</t>
  </si>
  <si>
    <t xml:space="preserve">Juzgado Contrav. y de Menor Cuantía Los Chiles </t>
  </si>
  <si>
    <t>Juzgado Contrav. y de Menor Cuantía Guatuso</t>
  </si>
  <si>
    <t>Juzgado Civil y Trabajo del III Circuito Judicial de Alajuela (San Ramón)</t>
  </si>
  <si>
    <t>Juzgado de Cobro y Menor Cuantía III Circ. Jud. Alajuela (San Ramón)</t>
  </si>
  <si>
    <t>Juzgado de Cobro, Contrav. y Menor Cuantía de Grecia</t>
  </si>
  <si>
    <t>Juzgado Contr. y Men Cuant. Tarrazú, Dota y León Cortés</t>
  </si>
  <si>
    <t>Tribunal Trabajo de Menor Cuantía de Heredia</t>
  </si>
  <si>
    <t>Juzgado Contravencional, Men. Cuant. y Tránsito Sarapiquí</t>
  </si>
  <si>
    <t>Juzgado Civil, Trabajo, Familia, Pen. Juv. y  Viol. Dom. Sarapiquí</t>
  </si>
  <si>
    <t>Juzgado Cobro, Menor Cuantía y Tránsito del I Circ. Jud. Guanacaste</t>
  </si>
  <si>
    <t>Juzgado Contravencional y Menor Cuantía de La Cruz</t>
  </si>
  <si>
    <t>Juzgado Contravencional y Menor Cuantía de Tilarán</t>
  </si>
  <si>
    <t>Tribunal Trabajo de Men. Cuantía II Circ. Jud. Guanacaste, Sede Santa Cruz</t>
  </si>
  <si>
    <t>Juzgado Contravencional y Menor Cuantía de Hojancha</t>
  </si>
  <si>
    <t>Tribunal de Trabajo Menor Ctía. de Puntarenas</t>
  </si>
  <si>
    <t>Juzgado Contrav. y Menor Cuantía de Montes de Oro</t>
  </si>
  <si>
    <t>Juzgado Contravencional y Menor Cuantía de Cóbano</t>
  </si>
  <si>
    <t>Juzgado Contrav. y Menor Cuantía de Aguirre</t>
  </si>
  <si>
    <t>Juzgado Contrav. y Menor Cuantía de Parrita</t>
  </si>
  <si>
    <t>Juzgado Contrav. y Menor Cuantía de Monteverde</t>
  </si>
  <si>
    <t>Juzgado Cobro y Menor Cuantía del I Circ. Jud. Zona Sur</t>
  </si>
  <si>
    <t>Juzgado de Cobro, Menor Cuantía y Contrav. de Golfito</t>
  </si>
  <si>
    <t xml:space="preserve">Juzgado de Trabajo I Circ. Jud. de la Zona Atlántica </t>
  </si>
  <si>
    <t>Juzgado Contravencional y Menor Cuantía de Guácimo</t>
  </si>
  <si>
    <t>1) Al iniciar el 2015 se trasladaron 1236 asuntos del circulante al iniciar de la Sección Segunda del Juzgado de Trabajo del II Circ. Jud. de San José a la Sección Primera.</t>
  </si>
  <si>
    <t>La Unión (PISAV)....................................................................................................................</t>
  </si>
  <si>
    <t>Tercero Especializado de Cobro I Circuito Judicial de San José…..................</t>
  </si>
  <si>
    <t>Segundo Circuito Zona Atlántica........................................................................................................</t>
  </si>
  <si>
    <t>Zarcero........................................................................................................................</t>
  </si>
  <si>
    <t>Unidad de Trámite Rápido…………………………………………………………….</t>
  </si>
  <si>
    <t>Adjunta I Circuito Judicial de San Jose………………………………………………..</t>
  </si>
  <si>
    <t>Unidad de Fraudes……………………………………………………………………..</t>
  </si>
  <si>
    <t>Adjunta de probidad, transparencia y anticorrupción  cod 621 ……………………….</t>
  </si>
  <si>
    <t>Adjunta  de delitos económicos, tributarios y legitimación de capitales cod 618 ……..</t>
  </si>
  <si>
    <t>Fiscalía Adjunta Contra Legitimación de Capitales y extinción de Dominio1068 …….</t>
  </si>
  <si>
    <t>Fiscalía de Trámite de Flagrancia de San José ………………………………………….</t>
  </si>
  <si>
    <t>Adjunta Delitos Sexuales y VD ………………………………………………………..</t>
  </si>
  <si>
    <t>Adjunta contra el Crimen Organizado ………………………………………………….</t>
  </si>
  <si>
    <t>Adjunta Agrario Ambiental …………………………………………………………….</t>
  </si>
  <si>
    <t>Contra Trata de Personas ………………………………………………………………</t>
  </si>
  <si>
    <t>Puriscal …………………………………………………………………………………</t>
  </si>
  <si>
    <t>San Ramón (Expediente electrónico) …………………………………………………</t>
  </si>
  <si>
    <t>San Ramón (Expediente físico) ………………………………………………………</t>
  </si>
  <si>
    <t>Segundo Circuito Zona Atlántica................................................................................</t>
  </si>
  <si>
    <t>Juzgado Contraven. y Transito de Pococí</t>
  </si>
  <si>
    <t>Juzgado Contraven. y Transito del II Circuito Judicial de la Zona Atlántica</t>
  </si>
  <si>
    <t>Penal Juvenil II Circuito Judicial Zona Atlántica</t>
  </si>
  <si>
    <t>Segundo Circuito Alajuela.....................................................................................................</t>
  </si>
  <si>
    <t>.</t>
  </si>
  <si>
    <t>Continuación Cuadro N° 7</t>
  </si>
  <si>
    <t>AÑO</t>
  </si>
  <si>
    <t>San Joaquín de Flores (PISAV)</t>
  </si>
  <si>
    <t>San Joaquín de Flores (PISAV)................................................................................................</t>
  </si>
  <si>
    <t>Puerto Jiménez</t>
  </si>
  <si>
    <t>Puerto Jiménez............................................................................................</t>
  </si>
  <si>
    <t>Sarapiqui</t>
  </si>
  <si>
    <t>Cóbano</t>
  </si>
  <si>
    <t>Bribri</t>
  </si>
  <si>
    <t xml:space="preserve"> --</t>
  </si>
  <si>
    <t>Testimonio de</t>
  </si>
  <si>
    <t>Piezas</t>
  </si>
  <si>
    <t>DE PRIMERA INSTANCIA DURANTE EL PERIODO 2012-2016</t>
  </si>
  <si>
    <t>DURANTE EL PERÍODO 2012-2016</t>
  </si>
  <si>
    <t>Testimonio</t>
  </si>
  <si>
    <t>INDICADORES DE GESTIÓN JUDICIAL EN MATERIA CIVIL DE PRIMERA INSTANCIA SEGÚN DESPACHO JUDICIAL DURANTE EL 2016</t>
  </si>
  <si>
    <t>INDICADORES DE GESTIÓN JUDICIAL EN MATERIA DE COBRO JUDICIAL DE PRIMERA INSTANCIA SEGÚN DESPACHO JUDICIAL DURANTE EL 2016</t>
  </si>
  <si>
    <t>INDICADORES DE GESTIÓN JUDICIAL EN MATERIA AGRARIA DE PRIMERA INSTANCIA SEGÚN DESPACHO JUDICIAL DURANTE EL 2016</t>
  </si>
  <si>
    <t>INDICADORES DE GESTIÓN JUDICIAL EN MATERIA CONTENCIOSA ADMINISTRATIVA DE PRIMERA INSTANCIA SEGÚN DESPACHO JUDICIAL DURANTE EL 2016</t>
  </si>
  <si>
    <t>INDICADORES DE GESTIÓN JUDICIAL EN MATERIA DE FAMILIA DE PRIMERA INSTANCIA SEGÚN DESPACHO JUDICIAL DURANTE EL 2016</t>
  </si>
  <si>
    <t>INDICADORES DE GESTIÓN JUDICIAL EN MATERIA DE PENSIONES ALIMENTARIAS DE PRIMERA INSTANCIA SEGÚN DESPACHO JUDICIAL DURANTE EL 2016</t>
  </si>
  <si>
    <t>INDICADORES DE GESTIÓN JUDICIAL EN MATERIA DE VIOLENCIA DOMÉSTICA DE PRIMERA INSTANCIA SEGÚN DESPACHO JUDICIAL DURANTE EL 2016</t>
  </si>
  <si>
    <t>CASOS ENTRADOS POR CIRCUITO JUDICIAL Y MATERIA EN LAS OFICINAS JUDICIALES DE PRIMERA INSTANCIA DURANTE EL 2016</t>
  </si>
  <si>
    <t>CASOS TERMINADOS POR CIRCUITO JUDICIAL Y MATERIA EN LAS OFICINAS JUDICIALES DE PRIMERA INSTANCIA DURANTE EL 2016</t>
  </si>
  <si>
    <t>CIRCULANTE AL FINALIZAR EL 2016 POR CIRCUITO JUDICIAL Y MATERIA EN LAS OFICINAS JUDICIALES DE PRIMERA INSTANCIA</t>
  </si>
  <si>
    <t>INDICADORES DE GESTIÓN JUDICIAL EN MATERIA DE TRABAJO DE PRIMERA INSTANCIA SEGÚN DESPACHO JUDICIAL DURANTE EL 2016</t>
  </si>
  <si>
    <t>INDICADORES DE GESTIÓN JUDICIAL EN LAS FISCALÍAS PENALES SEGÚN DESPACHO JUDICIAL DURANTE EL 2016</t>
  </si>
  <si>
    <t>INDICADORES DE GESTIÓN JUDICIAL EN LOS JUZGADOS PENALES SEGÚN DESPACHO JUDICIAL DURANTE EL 2016</t>
  </si>
  <si>
    <t>INDICADORES DE GESTIÓN JUDICIAL EN LOS TRIBUNALES PENALES SEGÚN DESPACHO JUDICIAL DURANTE EL 2016</t>
  </si>
  <si>
    <t>INDICADORES DE GESTIÓN JUDICIAL EN MATERIA CONTRAVENCIONAL DE PRIMERA INSTANCIA SEGÚN DESPACHO JUDICIAL DURANTE EL 2016</t>
  </si>
  <si>
    <t>INDICADORES DE GESTIÓN JUDICIAL EN MATERIA DE TRÁNSITO DE PRIMERA INSTANCIA SEGÚN DESPACHO JUDICIAL DURANTE EL 2016</t>
  </si>
  <si>
    <t>MATERIA CONSTITUCIONAL DURANTE EL 2016</t>
  </si>
  <si>
    <t>MATERIA NOTARIAL DURANTE EL 2016</t>
  </si>
  <si>
    <t>Elaborado por: Subproceso de Estadística, Dirección de Planificación.</t>
  </si>
  <si>
    <t>INDICADORES DE GESTIÓN JUDICIAL EN LAS FISCALÍAS PENALES JUVENILES SEGÚN DESPACHO JUDICIAL DURANTE EL 2016</t>
  </si>
  <si>
    <t>INDICADORES DE GESTIÓN JUDICIAL EN LOS JUZGADOS PENALES JUVENILES SEGÚN DESPACHO JUDICIAL DURANTE EL 2016</t>
  </si>
  <si>
    <t>San Joaquín de Flores (PISAV).........................................................................................</t>
  </si>
  <si>
    <t>Puerto Jiménez..................................................................................................................</t>
  </si>
  <si>
    <t>Siquirres............................................................................................................................</t>
  </si>
  <si>
    <t>Flagrancia Segundo Circuito Zona Atlántica.......................................................................</t>
  </si>
  <si>
    <t>Puerto Jiménez………………………………………………………………………………</t>
  </si>
  <si>
    <t>CASOS ENTRADOS POR MATERIA EN LAS OFICINAS JUDICIALES DE PRIMERA INSTANCIA DURANTE EL 2016</t>
  </si>
  <si>
    <t>CASOS TERMINADOS POR MATERIA EN LAS OFICINAS JUDICIALES DE PRIMERA INSTANCIA DURANTE EL 2016</t>
  </si>
  <si>
    <t>CIRCULANTE AL FINALIZAR EL AÑO POR MATERIA EN LAS OFICINAS JUDICIALES DE PRIMERA INSTANCIA DURANTE EL 2016</t>
  </si>
  <si>
    <t>Número</t>
  </si>
  <si>
    <t>Nombre del Cuadro</t>
  </si>
  <si>
    <t>MOVIMIENTOS GENERALES</t>
  </si>
  <si>
    <t xml:space="preserve">CASOS ENTRADOS POR CIRCUITO JUDICIAL Y MATERIA EN LAS OFICINAS JUDICIALES DE PRIMERA INSTANCIA </t>
  </si>
  <si>
    <t xml:space="preserve">CASOS TERMINADOS POR CIRCUITO JUDICIAL Y MATERIA EN LAS OFICINAS JUDICIALES DE PRIMERA INSTANCIA </t>
  </si>
  <si>
    <t>CASOS ENTRADOS POR MATERIA EN LAS OFICINAS JUDICIALES DE PRIMERA INSTANCIA DURANTE EL PERIODO 2012-2016</t>
  </si>
  <si>
    <t>CASOS TERMINADOS POR MATERIA EN LAS OFICINAS JUDICIALES DE PRIMERA INSTANCIA DURANTE EL PERIODO 2012-2016</t>
  </si>
  <si>
    <t>CIRCULANTE AL FINALIZAR EL AÑO POR MATERIA EN LAS OFICINAS JUDICIALES DE PRIMERA INSTANCIA DURANTE EL PERÍODO 2012-2016</t>
  </si>
  <si>
    <t>INDICADORES DE GESTIÓN JUDICIAL EN MATERIA CIVIL DE PRIMERA INSTANCIA SEGÚN DESPACHO JUDICIAL</t>
  </si>
  <si>
    <t>INDICADORES DE GESTIÓN JUDICIAL EN MATERIA DE COBRO JUDICIAL DE PRIMERA INSTANCIA SEGÚN DESPACHO JUDICIAL</t>
  </si>
  <si>
    <t>INDICADORES DE GESTIÓN JUDICIAL EN MATERIA AGRARIA DE PRIMERA INSTANCIA SEGÚN DESPACHO JUDICIAL</t>
  </si>
  <si>
    <t xml:space="preserve">INDICADORES DE GESTIÓN JUDICIAL EN MATERIA CONTENCIOSA ADMINISTRATIVA DE PRIMERA INSTANCIA SEGÚN DESPACHO JUDICIAL </t>
  </si>
  <si>
    <t xml:space="preserve">INDICADORES DE GESTIÓN JUDICIAL EN MATERIA DE FAMILIA DE PRIMERA INSTANCIA SEGÚN DESPACHO JUDICIAL </t>
  </si>
  <si>
    <t xml:space="preserve">INDICADORES DE GESTIÓN JUDICIAL EN MATERIA DE PENSIONES ALIMENTARIAS DE PRIMERA INSTANCIA SEGÚN DESPACHO JUDICIAL </t>
  </si>
  <si>
    <t xml:space="preserve">INDICADORES DE GESTIÓN JUDICIAL EN MATERIA DE VIOLENCIA DOMÉSTICA DE PRIMERA INSTANCIA SEGÚN DESPACHO JUDICIAL </t>
  </si>
  <si>
    <t xml:space="preserve">INDICADORES DE GESTIÓN JUDICIAL EN MATERIA DE TRABAJO DE PRIMERA INSTANCIA SEGÚN DESPACHO JUDICIAL </t>
  </si>
  <si>
    <t xml:space="preserve">INDICADORES DE GESTIÓN JUDICIAL EN LAS FISCALÍAS PENALES SEGÚN DESPACHO JUDICIAL </t>
  </si>
  <si>
    <t xml:space="preserve">INDICADORES DE GESTIÓN JUDICIAL EN LAS FISCALÍAS PENALES JUVENILES SEGÚN DESPACHO JUDICIAL </t>
  </si>
  <si>
    <t xml:space="preserve">INDICADORES DE GESTIÓN JUDICIAL EN LOS JUZGADOS PENALES SEGÚN DESPACHO JUDICIAL </t>
  </si>
  <si>
    <t xml:space="preserve">INDICADORES DE GESTIÓN JUDICIAL EN LOS TRIBUNALES PENALES SEGÚN DESPACHO JUDICIAL </t>
  </si>
  <si>
    <t>DURANTE EL 2016</t>
  </si>
  <si>
    <t>CASOS ENTRADOS POR MATERIA EN LAS OFICINAS JUDICIALES DE PRIMERA INSTANCIA</t>
  </si>
  <si>
    <t xml:space="preserve">CASOS TERMINADOS POR MATERIA EN LAS OFICINAS JUDICIALES DE PRIMERA INSTANCIA </t>
  </si>
  <si>
    <t xml:space="preserve">CIRCULANTE AL FINALIZAR EL AÑO POR MATERIA EN LAS OFICINAS JUDICIALES DE PRIMERA INSTANCIA </t>
  </si>
  <si>
    <t xml:space="preserve">INDICADORES DE GESTIÓN JUDICIAL EN LOS JUZGADOS PENALES JUVENILES SEGÚN DESPACHO JUDICIAL </t>
  </si>
  <si>
    <t xml:space="preserve">INDICADORES DE GESTIÓN JUDICIAL EN MATERIA CONTRAVENCIONAL DE PRIMERA INSTANCIA SEGÚN DESPACHO JUDICIAL </t>
  </si>
  <si>
    <t xml:space="preserve">INDICADORES DE GESTIÓN JUDICIAL EN MATERIA DE TRÁNSITO DE PRIMERA INSTANCIA SEGÚN DESPACHO JUDICIAL </t>
  </si>
  <si>
    <t xml:space="preserve">INDICADORES DE GESTIÓN JUDICIAL RELACIONADOS CON MATERIA CONSTITUCIONAL </t>
  </si>
  <si>
    <t>INDICADORES DE GESTIÓN JUDICIAL RELACIONADOS CON MATERIA NOTARIAL</t>
  </si>
</sst>
</file>

<file path=xl/styles.xml><?xml version="1.0" encoding="utf-8"?>
<styleSheet xmlns="http://schemas.openxmlformats.org/spreadsheetml/2006/main">
  <numFmts count="7">
    <numFmt numFmtId="164" formatCode="_([$€]* #,##0.00_);_([$€]* \(#,##0.00\);_([$€]* \-??_);_(@_)"/>
    <numFmt numFmtId="165" formatCode="0\ "/>
    <numFmt numFmtId="166" formatCode="General\ "/>
    <numFmt numFmtId="167" formatCode="0.00_)"/>
    <numFmt numFmtId="168" formatCode="#,##0.0"/>
    <numFmt numFmtId="169" formatCode="0_)"/>
    <numFmt numFmtId="170" formatCode="0.0"/>
  </numFmts>
  <fonts count="35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name val="Arial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b/>
      <sz val="24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b/>
      <sz val="16"/>
      <color indexed="10"/>
      <name val="Times New Roman"/>
      <family val="1"/>
    </font>
    <font>
      <sz val="16"/>
      <color indexed="8"/>
      <name val="Times New Roman"/>
      <family val="1"/>
    </font>
    <font>
      <b/>
      <sz val="16"/>
      <color indexed="18"/>
      <name val="Times New Roman"/>
      <family val="1"/>
    </font>
    <font>
      <b/>
      <sz val="16"/>
      <color indexed="53"/>
      <name val="Times New Roman"/>
      <family val="1"/>
    </font>
    <font>
      <sz val="10"/>
      <name val="Arial"/>
      <family val="2"/>
    </font>
    <font>
      <vertAlign val="superscript"/>
      <sz val="16"/>
      <name val="Times New Roman"/>
      <family val="1"/>
    </font>
    <font>
      <b/>
      <sz val="12"/>
      <color rgb="FFFF0000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b/>
      <sz val="14"/>
      <color theme="3" tint="-0.249977111117893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0"/>
        <bgColor indexed="49"/>
      </patternFill>
    </fill>
    <fill>
      <patternFill patternType="solid">
        <fgColor indexed="41"/>
        <bgColor indexed="27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27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9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Protection="0">
      <alignment horizontal="left"/>
    </xf>
    <xf numFmtId="0" fontId="29" fillId="0" borderId="0" applyNumberFormat="0" applyFill="0" applyBorder="0" applyProtection="0">
      <alignment horizontal="left"/>
    </xf>
    <xf numFmtId="0" fontId="6" fillId="21" borderId="2" applyNumberFormat="0" applyAlignment="0" applyProtection="0"/>
    <xf numFmtId="0" fontId="7" fillId="0" borderId="3" applyNumberFormat="0" applyFill="0" applyAlignment="0" applyProtection="0"/>
    <xf numFmtId="0" fontId="6" fillId="21" borderId="2" applyNumberFormat="0" applyAlignment="0" applyProtection="0"/>
    <xf numFmtId="0" fontId="8" fillId="0" borderId="0" applyNumberFormat="0" applyFill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9" fillId="7" borderId="1" applyNumberFormat="0" applyAlignment="0" applyProtection="0"/>
    <xf numFmtId="0" fontId="29" fillId="0" borderId="0" applyNumberFormat="0" applyFill="0" applyBorder="0" applyAlignment="0" applyProtection="0"/>
    <xf numFmtId="164" fontId="29" fillId="0" borderId="0" applyFill="0" applyBorder="0" applyAlignment="0" applyProtection="0"/>
    <xf numFmtId="0" fontId="10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8" fillId="0" borderId="6" applyNumberFormat="0" applyFill="0" applyAlignment="0" applyProtection="0"/>
    <xf numFmtId="0" fontId="8" fillId="0" borderId="0" applyNumberFormat="0" applyFill="0" applyBorder="0" applyAlignment="0" applyProtection="0"/>
    <xf numFmtId="0" fontId="3" fillId="3" borderId="0" applyNumberFormat="0" applyBorder="0" applyAlignment="0" applyProtection="0"/>
    <xf numFmtId="0" fontId="9" fillId="7" borderId="1" applyNumberFormat="0" applyAlignment="0" applyProtection="0"/>
    <xf numFmtId="0" fontId="7" fillId="0" borderId="3" applyNumberFormat="0" applyFill="0" applyAlignment="0" applyProtection="0"/>
    <xf numFmtId="0" fontId="13" fillId="22" borderId="0" applyNumberFormat="0" applyBorder="0" applyAlignment="0" applyProtection="0"/>
    <xf numFmtId="0" fontId="29" fillId="0" borderId="0"/>
    <xf numFmtId="0" fontId="29" fillId="0" borderId="0"/>
    <xf numFmtId="0" fontId="29" fillId="23" borderId="7" applyNumberFormat="0" applyAlignment="0" applyProtection="0"/>
    <xf numFmtId="0" fontId="29" fillId="23" borderId="7" applyNumberFormat="0" applyAlignment="0" applyProtection="0"/>
    <xf numFmtId="0" fontId="14" fillId="20" borderId="8" applyNumberFormat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Protection="0">
      <alignment horizontal="left"/>
    </xf>
    <xf numFmtId="0" fontId="2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20" borderId="8" applyNumberFormat="0" applyAlignment="0" applyProtection="0"/>
    <xf numFmtId="0" fontId="16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8" fillId="0" borderId="6" applyNumberFormat="0" applyFill="0" applyAlignment="0" applyProtection="0"/>
    <xf numFmtId="0" fontId="15" fillId="0" borderId="0" applyNumberFormat="0" applyFill="0" applyBorder="0" applyProtection="0">
      <alignment horizontal="left"/>
    </xf>
    <xf numFmtId="0" fontId="18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471">
    <xf numFmtId="0" fontId="0" fillId="0" borderId="0" xfId="0"/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20" fillId="0" borderId="0" xfId="0" applyFont="1" applyFill="1"/>
    <xf numFmtId="3" fontId="19" fillId="0" borderId="0" xfId="0" applyNumberFormat="1" applyFont="1" applyFill="1" applyAlignment="1">
      <alignment horizontal="center"/>
    </xf>
    <xf numFmtId="0" fontId="19" fillId="24" borderId="0" xfId="0" applyFont="1" applyFill="1"/>
    <xf numFmtId="0" fontId="19" fillId="24" borderId="0" xfId="0" applyFont="1" applyFill="1" applyAlignment="1">
      <alignment horizontal="center"/>
    </xf>
    <xf numFmtId="0" fontId="21" fillId="25" borderId="10" xfId="0" applyFont="1" applyFill="1" applyBorder="1" applyAlignment="1">
      <alignment horizontal="center" vertical="center" wrapText="1"/>
    </xf>
    <xf numFmtId="0" fontId="21" fillId="25" borderId="11" xfId="0" applyFont="1" applyFill="1" applyBorder="1" applyAlignment="1">
      <alignment horizontal="center" vertical="center" wrapText="1"/>
    </xf>
    <xf numFmtId="0" fontId="21" fillId="25" borderId="12" xfId="0" applyFont="1" applyFill="1" applyBorder="1" applyAlignment="1">
      <alignment horizontal="center" vertical="center" wrapText="1"/>
    </xf>
    <xf numFmtId="0" fontId="19" fillId="25" borderId="13" xfId="0" applyFont="1" applyFill="1" applyBorder="1" applyAlignment="1">
      <alignment horizontal="center" vertical="top" wrapText="1"/>
    </xf>
    <xf numFmtId="0" fontId="19" fillId="25" borderId="0" xfId="0" applyFont="1" applyFill="1" applyBorder="1"/>
    <xf numFmtId="0" fontId="19" fillId="25" borderId="14" xfId="0" applyFont="1" applyFill="1" applyBorder="1"/>
    <xf numFmtId="0" fontId="19" fillId="25" borderId="15" xfId="0" applyFont="1" applyFill="1" applyBorder="1"/>
    <xf numFmtId="0" fontId="19" fillId="25" borderId="16" xfId="0" applyFont="1" applyFill="1" applyBorder="1"/>
    <xf numFmtId="0" fontId="19" fillId="25" borderId="0" xfId="0" applyFont="1" applyFill="1"/>
    <xf numFmtId="0" fontId="20" fillId="25" borderId="13" xfId="0" applyFont="1" applyFill="1" applyBorder="1" applyAlignment="1">
      <alignment vertical="top" wrapText="1"/>
    </xf>
    <xf numFmtId="3" fontId="20" fillId="25" borderId="16" xfId="0" applyNumberFormat="1" applyFont="1" applyFill="1" applyBorder="1" applyAlignment="1">
      <alignment horizontal="center" vertical="top" wrapText="1"/>
    </xf>
    <xf numFmtId="3" fontId="19" fillId="25" borderId="15" xfId="0" applyNumberFormat="1" applyFont="1" applyFill="1" applyBorder="1" applyAlignment="1">
      <alignment horizontal="center" vertical="top" wrapText="1"/>
    </xf>
    <xf numFmtId="3" fontId="19" fillId="25" borderId="16" xfId="0" applyNumberFormat="1" applyFont="1" applyFill="1" applyBorder="1"/>
    <xf numFmtId="3" fontId="19" fillId="25" borderId="15" xfId="0" applyNumberFormat="1" applyFont="1" applyFill="1" applyBorder="1"/>
    <xf numFmtId="3" fontId="19" fillId="25" borderId="0" xfId="0" applyNumberFormat="1" applyFont="1" applyFill="1" applyBorder="1" applyAlignment="1">
      <alignment horizontal="center"/>
    </xf>
    <xf numFmtId="0" fontId="19" fillId="25" borderId="0" xfId="0" applyFont="1" applyFill="1" applyBorder="1" applyAlignment="1">
      <alignment horizontal="justify" vertical="top" wrapText="1"/>
    </xf>
    <xf numFmtId="3" fontId="19" fillId="25" borderId="16" xfId="0" applyNumberFormat="1" applyFont="1" applyFill="1" applyBorder="1" applyAlignment="1">
      <alignment horizontal="center" vertical="top" wrapText="1"/>
    </xf>
    <xf numFmtId="3" fontId="19" fillId="25" borderId="15" xfId="0" applyNumberFormat="1" applyFont="1" applyFill="1" applyBorder="1" applyAlignment="1" applyProtection="1">
      <alignment horizontal="center"/>
      <protection locked="0"/>
    </xf>
    <xf numFmtId="3" fontId="19" fillId="25" borderId="13" xfId="0" applyNumberFormat="1" applyFont="1" applyFill="1" applyBorder="1" applyAlignment="1">
      <alignment horizontal="center" vertical="top" wrapText="1"/>
    </xf>
    <xf numFmtId="3" fontId="19" fillId="25" borderId="15" xfId="0" applyNumberFormat="1" applyFont="1" applyFill="1" applyBorder="1" applyAlignment="1">
      <alignment horizontal="center"/>
    </xf>
    <xf numFmtId="0" fontId="19" fillId="25" borderId="17" xfId="0" applyFont="1" applyFill="1" applyBorder="1" applyAlignment="1">
      <alignment horizontal="justify" vertical="top" wrapText="1"/>
    </xf>
    <xf numFmtId="0" fontId="19" fillId="25" borderId="11" xfId="0" applyFont="1" applyFill="1" applyBorder="1" applyAlignment="1">
      <alignment horizontal="center" vertical="top" wrapText="1"/>
    </xf>
    <xf numFmtId="0" fontId="19" fillId="25" borderId="11" xfId="0" applyFont="1" applyFill="1" applyBorder="1" applyAlignment="1" applyProtection="1">
      <alignment horizontal="center"/>
      <protection locked="0"/>
    </xf>
    <xf numFmtId="0" fontId="19" fillId="25" borderId="12" xfId="0" applyFont="1" applyFill="1" applyBorder="1" applyAlignment="1" applyProtection="1">
      <alignment horizontal="center"/>
      <protection locked="0"/>
    </xf>
    <xf numFmtId="0" fontId="19" fillId="25" borderId="12" xfId="0" applyFont="1" applyFill="1" applyBorder="1" applyAlignment="1">
      <alignment horizontal="center"/>
    </xf>
    <xf numFmtId="0" fontId="19" fillId="25" borderId="17" xfId="0" applyFont="1" applyFill="1" applyBorder="1" applyAlignment="1">
      <alignment horizontal="center"/>
    </xf>
    <xf numFmtId="0" fontId="19" fillId="25" borderId="11" xfId="0" applyFont="1" applyFill="1" applyBorder="1" applyAlignment="1">
      <alignment horizontal="center"/>
    </xf>
    <xf numFmtId="165" fontId="19" fillId="25" borderId="11" xfId="0" applyNumberFormat="1" applyFont="1" applyFill="1" applyBorder="1" applyAlignment="1">
      <alignment horizontal="center"/>
    </xf>
    <xf numFmtId="0" fontId="19" fillId="0" borderId="0" xfId="0" applyFont="1" applyFill="1" applyBorder="1"/>
    <xf numFmtId="0" fontId="19" fillId="0" borderId="0" xfId="0" applyFont="1" applyFill="1" applyBorder="1" applyAlignment="1">
      <alignment vertical="top"/>
    </xf>
    <xf numFmtId="0" fontId="19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3" fontId="19" fillId="0" borderId="0" xfId="0" applyNumberFormat="1" applyFont="1" applyFill="1" applyBorder="1" applyAlignment="1">
      <alignment horizontal="center"/>
    </xf>
    <xf numFmtId="0" fontId="21" fillId="25" borderId="17" xfId="0" applyFont="1" applyFill="1" applyBorder="1" applyAlignment="1">
      <alignment horizontal="center" vertical="center" wrapText="1"/>
    </xf>
    <xf numFmtId="0" fontId="19" fillId="25" borderId="18" xfId="0" applyFont="1" applyFill="1" applyBorder="1"/>
    <xf numFmtId="0" fontId="19" fillId="25" borderId="11" xfId="0" applyFont="1" applyFill="1" applyBorder="1"/>
    <xf numFmtId="0" fontId="19" fillId="0" borderId="0" xfId="0" applyFont="1" applyFill="1" applyBorder="1" applyAlignment="1">
      <alignment horizontal="left" vertical="center"/>
    </xf>
    <xf numFmtId="0" fontId="21" fillId="25" borderId="19" xfId="0" applyFont="1" applyFill="1" applyBorder="1" applyAlignment="1">
      <alignment horizontal="center" vertical="center" wrapText="1"/>
    </xf>
    <xf numFmtId="0" fontId="19" fillId="25" borderId="20" xfId="0" applyFont="1" applyFill="1" applyBorder="1" applyAlignment="1">
      <alignment horizontal="center"/>
    </xf>
    <xf numFmtId="0" fontId="19" fillId="25" borderId="13" xfId="0" applyFont="1" applyFill="1" applyBorder="1"/>
    <xf numFmtId="0" fontId="19" fillId="25" borderId="14" xfId="0" applyFont="1" applyFill="1" applyBorder="1" applyAlignment="1">
      <alignment horizontal="center"/>
    </xf>
    <xf numFmtId="3" fontId="19" fillId="25" borderId="13" xfId="0" applyNumberFormat="1" applyFont="1" applyFill="1" applyBorder="1"/>
    <xf numFmtId="3" fontId="19" fillId="25" borderId="13" xfId="0" applyNumberFormat="1" applyFont="1" applyFill="1" applyBorder="1" applyAlignment="1">
      <alignment horizontal="center"/>
    </xf>
    <xf numFmtId="3" fontId="19" fillId="25" borderId="21" xfId="0" applyNumberFormat="1" applyFont="1" applyFill="1" applyBorder="1"/>
    <xf numFmtId="3" fontId="19" fillId="25" borderId="0" xfId="0" applyNumberFormat="1" applyFont="1" applyFill="1" applyAlignment="1">
      <alignment horizontal="center"/>
    </xf>
    <xf numFmtId="0" fontId="19" fillId="25" borderId="12" xfId="0" applyFont="1" applyFill="1" applyBorder="1" applyAlignment="1">
      <alignment horizontal="center" vertical="top" wrapText="1"/>
    </xf>
    <xf numFmtId="0" fontId="20" fillId="24" borderId="0" xfId="0" applyFont="1" applyFill="1" applyBorder="1"/>
    <xf numFmtId="0" fontId="19" fillId="24" borderId="0" xfId="0" applyFont="1" applyFill="1" applyBorder="1"/>
    <xf numFmtId="0" fontId="19" fillId="25" borderId="20" xfId="0" applyFont="1" applyFill="1" applyBorder="1" applyAlignment="1" applyProtection="1"/>
    <xf numFmtId="0" fontId="20" fillId="25" borderId="13" xfId="0" applyFont="1" applyFill="1" applyBorder="1" applyAlignment="1">
      <alignment horizontal="center"/>
    </xf>
    <xf numFmtId="0" fontId="19" fillId="25" borderId="19" xfId="0" applyFont="1" applyFill="1" applyBorder="1" applyAlignment="1" applyProtection="1">
      <alignment horizontal="fill"/>
    </xf>
    <xf numFmtId="3" fontId="19" fillId="25" borderId="18" xfId="0" applyNumberFormat="1" applyFont="1" applyFill="1" applyBorder="1" applyAlignment="1">
      <alignment horizontal="center"/>
    </xf>
    <xf numFmtId="0" fontId="20" fillId="25" borderId="0" xfId="0" applyFont="1" applyFill="1" applyBorder="1" applyAlignment="1" applyProtection="1">
      <alignment horizontal="left"/>
    </xf>
    <xf numFmtId="3" fontId="20" fillId="25" borderId="15" xfId="0" applyNumberFormat="1" applyFont="1" applyFill="1" applyBorder="1" applyAlignment="1" applyProtection="1">
      <alignment horizontal="center"/>
    </xf>
    <xf numFmtId="3" fontId="20" fillId="25" borderId="16" xfId="0" applyNumberFormat="1" applyFont="1" applyFill="1" applyBorder="1" applyAlignment="1" applyProtection="1">
      <alignment horizontal="center"/>
    </xf>
    <xf numFmtId="3" fontId="19" fillId="25" borderId="15" xfId="0" applyNumberFormat="1" applyFont="1" applyFill="1" applyBorder="1" applyAlignment="1" applyProtection="1">
      <alignment horizontal="center"/>
    </xf>
    <xf numFmtId="3" fontId="19" fillId="25" borderId="16" xfId="0" applyNumberFormat="1" applyFont="1" applyFill="1" applyBorder="1" applyAlignment="1">
      <alignment horizontal="center"/>
    </xf>
    <xf numFmtId="3" fontId="19" fillId="25" borderId="16" xfId="0" applyNumberFormat="1" applyFont="1" applyFill="1" applyBorder="1" applyAlignment="1" applyProtection="1">
      <alignment horizontal="center"/>
    </xf>
    <xf numFmtId="0" fontId="19" fillId="25" borderId="0" xfId="0" applyFont="1" applyFill="1" applyBorder="1" applyAlignment="1" applyProtection="1">
      <alignment horizontal="left"/>
    </xf>
    <xf numFmtId="0" fontId="19" fillId="25" borderId="17" xfId="0" applyFont="1" applyFill="1" applyBorder="1" applyAlignment="1" applyProtection="1">
      <alignment horizontal="fill"/>
    </xf>
    <xf numFmtId="0" fontId="19" fillId="25" borderId="12" xfId="0" applyFont="1" applyFill="1" applyBorder="1"/>
    <xf numFmtId="3" fontId="19" fillId="25" borderId="17" xfId="0" applyNumberFormat="1" applyFont="1" applyFill="1" applyBorder="1"/>
    <xf numFmtId="3" fontId="19" fillId="25" borderId="11" xfId="0" applyNumberFormat="1" applyFont="1" applyFill="1" applyBorder="1" applyAlignment="1">
      <alignment horizontal="center"/>
    </xf>
    <xf numFmtId="0" fontId="19" fillId="0" borderId="0" xfId="0" applyFont="1" applyFill="1" applyAlignment="1" applyProtection="1"/>
    <xf numFmtId="0" fontId="19" fillId="0" borderId="0" xfId="0" applyFont="1" applyFill="1" applyAlignment="1"/>
    <xf numFmtId="0" fontId="19" fillId="0" borderId="0" xfId="0" applyFont="1" applyFill="1" applyAlignment="1">
      <alignment horizontal="left"/>
    </xf>
    <xf numFmtId="0" fontId="20" fillId="0" borderId="0" xfId="0" applyFont="1" applyFill="1" applyAlignment="1" applyProtection="1">
      <alignment horizontal="left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/>
    </xf>
    <xf numFmtId="0" fontId="19" fillId="24" borderId="17" xfId="0" applyFont="1" applyFill="1" applyBorder="1" applyAlignment="1" applyProtection="1">
      <alignment horizontal="fill"/>
    </xf>
    <xf numFmtId="0" fontId="19" fillId="24" borderId="0" xfId="0" applyFont="1" applyFill="1" applyBorder="1" applyAlignment="1">
      <alignment horizontal="center" wrapText="1"/>
    </xf>
    <xf numFmtId="0" fontId="20" fillId="25" borderId="0" xfId="0" applyFont="1" applyFill="1" applyBorder="1" applyAlignment="1">
      <alignment horizontal="center"/>
    </xf>
    <xf numFmtId="0" fontId="19" fillId="25" borderId="0" xfId="0" applyFont="1" applyFill="1" applyBorder="1" applyAlignment="1" applyProtection="1">
      <alignment horizontal="fill"/>
    </xf>
    <xf numFmtId="0" fontId="19" fillId="25" borderId="14" xfId="0" applyFont="1" applyFill="1" applyBorder="1" applyAlignment="1">
      <alignment horizontal="center" wrapText="1"/>
    </xf>
    <xf numFmtId="0" fontId="20" fillId="25" borderId="0" xfId="0" applyFont="1" applyFill="1" applyBorder="1" applyAlignment="1" applyProtection="1"/>
    <xf numFmtId="3" fontId="19" fillId="25" borderId="11" xfId="0" applyNumberFormat="1" applyFont="1" applyFill="1" applyBorder="1"/>
    <xf numFmtId="0" fontId="19" fillId="0" borderId="0" xfId="0" applyFont="1" applyFill="1" applyBorder="1" applyAlignment="1" applyProtection="1"/>
    <xf numFmtId="0" fontId="19" fillId="25" borderId="22" xfId="0" applyFont="1" applyFill="1" applyBorder="1" applyAlignment="1" applyProtection="1">
      <alignment horizontal="fill"/>
    </xf>
    <xf numFmtId="0" fontId="19" fillId="0" borderId="0" xfId="0" applyFont="1" applyFill="1" applyAlignment="1" applyProtection="1">
      <alignment horizontal="left"/>
    </xf>
    <xf numFmtId="3" fontId="19" fillId="0" borderId="0" xfId="0" applyNumberFormat="1" applyFont="1" applyFill="1" applyBorder="1"/>
    <xf numFmtId="3" fontId="19" fillId="0" borderId="0" xfId="0" applyNumberFormat="1" applyFont="1" applyFill="1" applyBorder="1" applyAlignment="1" applyProtection="1">
      <alignment horizontal="center" vertical="center"/>
    </xf>
    <xf numFmtId="3" fontId="19" fillId="0" borderId="0" xfId="0" applyNumberFormat="1" applyFont="1" applyFill="1" applyAlignment="1">
      <alignment horizontal="center" vertical="center"/>
    </xf>
    <xf numFmtId="0" fontId="20" fillId="0" borderId="0" xfId="0" applyFont="1" applyFill="1" applyBorder="1"/>
    <xf numFmtId="0" fontId="22" fillId="0" borderId="0" xfId="0" applyFont="1" applyFill="1" applyBorder="1" applyAlignment="1"/>
    <xf numFmtId="0" fontId="20" fillId="24" borderId="17" xfId="0" applyFont="1" applyFill="1" applyBorder="1" applyAlignment="1"/>
    <xf numFmtId="3" fontId="19" fillId="24" borderId="0" xfId="0" applyNumberFormat="1" applyFont="1" applyFill="1" applyBorder="1" applyAlignment="1">
      <alignment horizontal="center"/>
    </xf>
    <xf numFmtId="166" fontId="20" fillId="25" borderId="22" xfId="0" applyNumberFormat="1" applyFont="1" applyFill="1" applyBorder="1" applyAlignment="1" applyProtection="1"/>
    <xf numFmtId="3" fontId="20" fillId="25" borderId="14" xfId="0" applyNumberFormat="1" applyFont="1" applyFill="1" applyBorder="1" applyAlignment="1">
      <alignment horizontal="center"/>
    </xf>
    <xf numFmtId="3" fontId="20" fillId="25" borderId="13" xfId="0" applyNumberFormat="1" applyFont="1" applyFill="1" applyBorder="1" applyAlignment="1" applyProtection="1">
      <alignment horizontal="center"/>
    </xf>
    <xf numFmtId="3" fontId="20" fillId="25" borderId="0" xfId="0" applyNumberFormat="1" applyFont="1" applyFill="1" applyBorder="1" applyAlignment="1" applyProtection="1">
      <alignment horizontal="center"/>
    </xf>
    <xf numFmtId="166" fontId="20" fillId="25" borderId="17" xfId="0" applyNumberFormat="1" applyFont="1" applyFill="1" applyBorder="1" applyAlignment="1" applyProtection="1"/>
    <xf numFmtId="3" fontId="20" fillId="25" borderId="12" xfId="0" applyNumberFormat="1" applyFont="1" applyFill="1" applyBorder="1" applyAlignment="1">
      <alignment horizontal="center"/>
    </xf>
    <xf numFmtId="3" fontId="20" fillId="25" borderId="19" xfId="0" applyNumberFormat="1" applyFont="1" applyFill="1" applyBorder="1" applyAlignment="1">
      <alignment horizontal="center"/>
    </xf>
    <xf numFmtId="3" fontId="20" fillId="25" borderId="19" xfId="0" applyNumberFormat="1" applyFont="1" applyFill="1" applyBorder="1" applyAlignment="1" applyProtection="1">
      <alignment horizontal="center"/>
    </xf>
    <xf numFmtId="3" fontId="20" fillId="25" borderId="17" xfId="0" applyNumberFormat="1" applyFont="1" applyFill="1" applyBorder="1" applyAlignment="1" applyProtection="1">
      <alignment horizontal="center"/>
    </xf>
    <xf numFmtId="3" fontId="20" fillId="25" borderId="11" xfId="0" applyNumberFormat="1" applyFont="1" applyFill="1" applyBorder="1" applyAlignment="1" applyProtection="1">
      <alignment horizontal="center"/>
    </xf>
    <xf numFmtId="3" fontId="19" fillId="25" borderId="11" xfId="0" applyNumberFormat="1" applyFont="1" applyFill="1" applyBorder="1" applyAlignment="1" applyProtection="1">
      <alignment horizontal="center"/>
    </xf>
    <xf numFmtId="166" fontId="20" fillId="25" borderId="13" xfId="0" applyNumberFormat="1" applyFont="1" applyFill="1" applyBorder="1" applyAlignment="1" applyProtection="1"/>
    <xf numFmtId="3" fontId="20" fillId="25" borderId="15" xfId="0" applyNumberFormat="1" applyFont="1" applyFill="1" applyBorder="1" applyAlignment="1">
      <alignment horizontal="center"/>
    </xf>
    <xf numFmtId="3" fontId="20" fillId="25" borderId="20" xfId="0" applyNumberFormat="1" applyFont="1" applyFill="1" applyBorder="1" applyAlignment="1">
      <alignment horizontal="center"/>
    </xf>
    <xf numFmtId="3" fontId="20" fillId="25" borderId="14" xfId="0" applyNumberFormat="1" applyFont="1" applyFill="1" applyBorder="1" applyAlignment="1" applyProtection="1">
      <alignment horizontal="center"/>
    </xf>
    <xf numFmtId="3" fontId="20" fillId="25" borderId="20" xfId="0" applyNumberFormat="1" applyFont="1" applyFill="1" applyBorder="1" applyAlignment="1" applyProtection="1">
      <alignment horizontal="center"/>
    </xf>
    <xf numFmtId="3" fontId="20" fillId="25" borderId="18" xfId="0" applyNumberFormat="1" applyFont="1" applyFill="1" applyBorder="1"/>
    <xf numFmtId="3" fontId="20" fillId="25" borderId="16" xfId="0" applyNumberFormat="1" applyFont="1" applyFill="1" applyBorder="1" applyAlignment="1">
      <alignment horizontal="center"/>
    </xf>
    <xf numFmtId="0" fontId="19" fillId="25" borderId="13" xfId="0" applyFont="1" applyFill="1" applyBorder="1" applyAlignment="1"/>
    <xf numFmtId="3" fontId="20" fillId="25" borderId="13" xfId="0" applyNumberFormat="1" applyFont="1" applyFill="1" applyBorder="1" applyAlignment="1">
      <alignment horizontal="center"/>
    </xf>
    <xf numFmtId="3" fontId="20" fillId="25" borderId="0" xfId="0" applyNumberFormat="1" applyFont="1" applyFill="1" applyBorder="1" applyAlignment="1">
      <alignment horizontal="center"/>
    </xf>
    <xf numFmtId="166" fontId="19" fillId="25" borderId="0" xfId="0" applyNumberFormat="1" applyFont="1" applyFill="1" applyBorder="1" applyAlignment="1" applyProtection="1"/>
    <xf numFmtId="3" fontId="19" fillId="25" borderId="13" xfId="0" applyNumberFormat="1" applyFont="1" applyFill="1" applyBorder="1" applyAlignment="1" applyProtection="1">
      <alignment horizontal="center"/>
    </xf>
    <xf numFmtId="3" fontId="19" fillId="25" borderId="0" xfId="0" applyNumberFormat="1" applyFont="1" applyFill="1" applyBorder="1" applyAlignment="1" applyProtection="1">
      <alignment horizontal="center"/>
    </xf>
    <xf numFmtId="0" fontId="19" fillId="25" borderId="0" xfId="0" applyFont="1" applyFill="1" applyBorder="1" applyAlignment="1" applyProtection="1"/>
    <xf numFmtId="166" fontId="19" fillId="25" borderId="13" xfId="0" applyNumberFormat="1" applyFont="1" applyFill="1" applyBorder="1" applyAlignment="1" applyProtection="1"/>
    <xf numFmtId="3" fontId="19" fillId="25" borderId="13" xfId="0" applyNumberFormat="1" applyFont="1" applyFill="1" applyBorder="1" applyAlignment="1" applyProtection="1">
      <alignment horizontal="center"/>
      <protection locked="0"/>
    </xf>
    <xf numFmtId="3" fontId="20" fillId="25" borderId="15" xfId="0" applyNumberFormat="1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>
      <alignment horizontal="left"/>
    </xf>
    <xf numFmtId="3" fontId="19" fillId="25" borderId="12" xfId="0" applyNumberFormat="1" applyFont="1" applyFill="1" applyBorder="1" applyAlignment="1">
      <alignment horizontal="center"/>
    </xf>
    <xf numFmtId="3" fontId="19" fillId="24" borderId="0" xfId="0" applyNumberFormat="1" applyFont="1" applyFill="1" applyBorder="1" applyAlignment="1" applyProtection="1">
      <alignment horizontal="center"/>
    </xf>
    <xf numFmtId="3" fontId="20" fillId="24" borderId="0" xfId="0" applyNumberFormat="1" applyFont="1" applyFill="1" applyBorder="1" applyAlignment="1">
      <alignment horizontal="center"/>
    </xf>
    <xf numFmtId="3" fontId="19" fillId="24" borderId="0" xfId="0" applyNumberFormat="1" applyFont="1" applyFill="1" applyBorder="1"/>
    <xf numFmtId="166" fontId="20" fillId="25" borderId="20" xfId="0" applyNumberFormat="1" applyFont="1" applyFill="1" applyBorder="1" applyAlignment="1" applyProtection="1"/>
    <xf numFmtId="166" fontId="20" fillId="25" borderId="19" xfId="0" applyNumberFormat="1" applyFont="1" applyFill="1" applyBorder="1" applyAlignment="1" applyProtection="1"/>
    <xf numFmtId="3" fontId="20" fillId="25" borderId="11" xfId="0" applyNumberFormat="1" applyFont="1" applyFill="1" applyBorder="1"/>
    <xf numFmtId="0" fontId="19" fillId="25" borderId="13" xfId="0" applyFont="1" applyFill="1" applyBorder="1" applyAlignment="1" applyProtection="1"/>
    <xf numFmtId="0" fontId="19" fillId="25" borderId="0" xfId="0" applyFont="1" applyFill="1" applyAlignment="1"/>
    <xf numFmtId="0" fontId="20" fillId="25" borderId="13" xfId="0" applyFont="1" applyFill="1" applyBorder="1" applyAlignment="1"/>
    <xf numFmtId="3" fontId="19" fillId="25" borderId="16" xfId="0" applyNumberFormat="1" applyFont="1" applyFill="1" applyBorder="1" applyAlignment="1" applyProtection="1">
      <alignment horizontal="center"/>
      <protection locked="0"/>
    </xf>
    <xf numFmtId="3" fontId="19" fillId="25" borderId="12" xfId="0" applyNumberFormat="1" applyFont="1" applyFill="1" applyBorder="1" applyAlignment="1" applyProtection="1">
      <alignment horizontal="center"/>
    </xf>
    <xf numFmtId="3" fontId="19" fillId="25" borderId="11" xfId="0" applyNumberFormat="1" applyFont="1" applyFill="1" applyBorder="1" applyAlignment="1" applyProtection="1">
      <alignment horizontal="center"/>
      <protection locked="0"/>
    </xf>
    <xf numFmtId="3" fontId="19" fillId="25" borderId="17" xfId="0" applyNumberFormat="1" applyFont="1" applyFill="1" applyBorder="1" applyAlignment="1" applyProtection="1">
      <alignment horizontal="center"/>
    </xf>
    <xf numFmtId="166" fontId="19" fillId="24" borderId="0" xfId="0" applyNumberFormat="1" applyFont="1" applyFill="1" applyBorder="1" applyAlignment="1" applyProtection="1"/>
    <xf numFmtId="3" fontId="19" fillId="24" borderId="0" xfId="0" applyNumberFormat="1" applyFont="1" applyFill="1" applyBorder="1" applyAlignment="1" applyProtection="1">
      <alignment horizontal="center"/>
      <protection locked="0"/>
    </xf>
    <xf numFmtId="3" fontId="20" fillId="25" borderId="18" xfId="0" applyNumberFormat="1" applyFont="1" applyFill="1" applyBorder="1" applyAlignment="1">
      <alignment horizontal="center"/>
    </xf>
    <xf numFmtId="3" fontId="19" fillId="25" borderId="0" xfId="0" applyNumberFormat="1" applyFont="1" applyFill="1" applyBorder="1" applyAlignment="1" applyProtection="1">
      <alignment horizontal="center"/>
      <protection locked="0"/>
    </xf>
    <xf numFmtId="3" fontId="20" fillId="25" borderId="16" xfId="0" applyNumberFormat="1" applyFont="1" applyFill="1" applyBorder="1" applyAlignment="1" applyProtection="1">
      <alignment horizontal="center"/>
      <protection locked="0"/>
    </xf>
    <xf numFmtId="166" fontId="19" fillId="25" borderId="17" xfId="0" applyNumberFormat="1" applyFont="1" applyFill="1" applyBorder="1" applyAlignment="1" applyProtection="1"/>
    <xf numFmtId="0" fontId="20" fillId="0" borderId="0" xfId="0" applyFont="1" applyFill="1" applyAlignment="1"/>
    <xf numFmtId="166" fontId="20" fillId="0" borderId="0" xfId="0" applyNumberFormat="1" applyFont="1" applyFill="1" applyAlignment="1" applyProtection="1">
      <alignment vertical="center"/>
    </xf>
    <xf numFmtId="3" fontId="20" fillId="24" borderId="17" xfId="0" applyNumberFormat="1" applyFont="1" applyFill="1" applyBorder="1" applyAlignment="1">
      <alignment horizontal="center"/>
    </xf>
    <xf numFmtId="3" fontId="20" fillId="24" borderId="0" xfId="0" applyNumberFormat="1" applyFont="1" applyFill="1" applyBorder="1"/>
    <xf numFmtId="1" fontId="19" fillId="0" borderId="0" xfId="0" applyNumberFormat="1" applyFont="1" applyFill="1" applyAlignment="1" applyProtection="1"/>
    <xf numFmtId="0" fontId="19" fillId="0" borderId="16" xfId="0" applyFont="1" applyFill="1" applyBorder="1"/>
    <xf numFmtId="3" fontId="19" fillId="25" borderId="14" xfId="0" applyNumberFormat="1" applyFont="1" applyFill="1" applyBorder="1" applyAlignment="1" applyProtection="1">
      <alignment horizontal="center"/>
      <protection locked="0"/>
    </xf>
    <xf numFmtId="0" fontId="23" fillId="25" borderId="16" xfId="0" applyFont="1" applyFill="1" applyBorder="1" applyAlignment="1">
      <alignment horizontal="center"/>
    </xf>
    <xf numFmtId="0" fontId="23" fillId="0" borderId="0" xfId="0" applyFont="1" applyFill="1" applyBorder="1" applyProtection="1"/>
    <xf numFmtId="0" fontId="24" fillId="0" borderId="0" xfId="0" applyFont="1" applyFill="1" applyBorder="1" applyProtection="1"/>
    <xf numFmtId="3" fontId="23" fillId="0" borderId="0" xfId="0" applyNumberFormat="1" applyFont="1" applyFill="1" applyBorder="1" applyAlignment="1" applyProtection="1">
      <alignment horizontal="center"/>
    </xf>
    <xf numFmtId="0" fontId="24" fillId="0" borderId="0" xfId="0" applyFont="1" applyFill="1" applyBorder="1" applyAlignment="1" applyProtection="1">
      <alignment horizontal="left"/>
    </xf>
    <xf numFmtId="0" fontId="23" fillId="0" borderId="0" xfId="0" applyFont="1" applyFill="1" applyBorder="1" applyAlignment="1" applyProtection="1">
      <alignment horizontal="center"/>
    </xf>
    <xf numFmtId="0" fontId="24" fillId="24" borderId="0" xfId="0" applyFont="1" applyFill="1" applyBorder="1" applyAlignment="1" applyProtection="1">
      <alignment horizontal="center"/>
    </xf>
    <xf numFmtId="0" fontId="24" fillId="24" borderId="0" xfId="0" applyFont="1" applyFill="1" applyBorder="1" applyAlignment="1" applyProtection="1">
      <alignment horizontal="fill"/>
    </xf>
    <xf numFmtId="0" fontId="23" fillId="24" borderId="0" xfId="0" applyFont="1" applyFill="1" applyBorder="1" applyAlignment="1" applyProtection="1">
      <alignment horizontal="fill"/>
    </xf>
    <xf numFmtId="0" fontId="23" fillId="24" borderId="0" xfId="0" applyFont="1" applyFill="1" applyBorder="1" applyProtection="1"/>
    <xf numFmtId="167" fontId="24" fillId="25" borderId="22" xfId="0" applyNumberFormat="1" applyFont="1" applyFill="1" applyBorder="1" applyAlignment="1" applyProtection="1">
      <alignment horizontal="center"/>
    </xf>
    <xf numFmtId="0" fontId="23" fillId="25" borderId="14" xfId="0" applyFont="1" applyFill="1" applyBorder="1" applyProtection="1"/>
    <xf numFmtId="0" fontId="24" fillId="25" borderId="0" xfId="0" applyFont="1" applyFill="1" applyBorder="1" applyAlignment="1" applyProtection="1">
      <alignment horizontal="center"/>
    </xf>
    <xf numFmtId="0" fontId="24" fillId="25" borderId="18" xfId="0" applyFont="1" applyFill="1" applyBorder="1" applyAlignment="1" applyProtection="1">
      <alignment horizontal="center"/>
    </xf>
    <xf numFmtId="0" fontId="24" fillId="25" borderId="14" xfId="0" applyFont="1" applyFill="1" applyBorder="1" applyAlignment="1" applyProtection="1">
      <alignment horizontal="center"/>
    </xf>
    <xf numFmtId="0" fontId="23" fillId="25" borderId="15" xfId="0" applyFont="1" applyFill="1" applyBorder="1" applyProtection="1"/>
    <xf numFmtId="0" fontId="24" fillId="25" borderId="17" xfId="0" applyFont="1" applyFill="1" applyBorder="1" applyAlignment="1" applyProtection="1">
      <alignment horizontal="fill"/>
    </xf>
    <xf numFmtId="14" fontId="24" fillId="25" borderId="11" xfId="0" applyNumberFormat="1" applyFont="1" applyFill="1" applyBorder="1" applyAlignment="1" applyProtection="1">
      <alignment horizontal="center"/>
    </xf>
    <xf numFmtId="0" fontId="24" fillId="25" borderId="15" xfId="0" applyFont="1" applyFill="1" applyBorder="1" applyAlignment="1" applyProtection="1">
      <alignment horizontal="center"/>
    </xf>
    <xf numFmtId="0" fontId="24" fillId="25" borderId="16" xfId="0" applyFont="1" applyFill="1" applyBorder="1" applyAlignment="1" applyProtection="1">
      <alignment horizontal="center"/>
    </xf>
    <xf numFmtId="0" fontId="23" fillId="25" borderId="12" xfId="0" applyFont="1" applyFill="1" applyBorder="1" applyProtection="1"/>
    <xf numFmtId="0" fontId="24" fillId="25" borderId="17" xfId="0" applyFont="1" applyFill="1" applyBorder="1" applyAlignment="1" applyProtection="1">
      <alignment horizontal="center"/>
    </xf>
    <xf numFmtId="0" fontId="24" fillId="25" borderId="12" xfId="0" applyFont="1" applyFill="1" applyBorder="1" applyAlignment="1" applyProtection="1">
      <alignment horizontal="center"/>
    </xf>
    <xf numFmtId="0" fontId="24" fillId="25" borderId="0" xfId="0" applyFont="1" applyFill="1" applyBorder="1" applyAlignment="1" applyProtection="1">
      <alignment horizontal="fill"/>
    </xf>
    <xf numFmtId="1" fontId="25" fillId="25" borderId="14" xfId="0" applyNumberFormat="1" applyFont="1" applyFill="1" applyBorder="1" applyAlignment="1" applyProtection="1">
      <alignment horizontal="center"/>
    </xf>
    <xf numFmtId="1" fontId="25" fillId="25" borderId="0" xfId="0" applyNumberFormat="1" applyFont="1" applyFill="1" applyBorder="1" applyAlignment="1" applyProtection="1">
      <alignment horizontal="center"/>
    </xf>
    <xf numFmtId="1" fontId="25" fillId="25" borderId="15" xfId="0" applyNumberFormat="1" applyFont="1" applyFill="1" applyBorder="1" applyAlignment="1" applyProtection="1">
      <alignment horizontal="center"/>
    </xf>
    <xf numFmtId="1" fontId="25" fillId="25" borderId="18" xfId="0" applyNumberFormat="1" applyFont="1" applyFill="1" applyBorder="1" applyAlignment="1" applyProtection="1">
      <alignment horizontal="center"/>
    </xf>
    <xf numFmtId="0" fontId="23" fillId="25" borderId="0" xfId="0" applyFont="1" applyFill="1" applyBorder="1" applyProtection="1"/>
    <xf numFmtId="0" fontId="24" fillId="25" borderId="13" xfId="0" applyFont="1" applyFill="1" applyBorder="1" applyAlignment="1" applyProtection="1"/>
    <xf numFmtId="3" fontId="24" fillId="25" borderId="15" xfId="0" applyNumberFormat="1" applyFont="1" applyFill="1" applyBorder="1" applyAlignment="1" applyProtection="1">
      <alignment horizontal="center"/>
    </xf>
    <xf numFmtId="0" fontId="23" fillId="25" borderId="15" xfId="0" applyFont="1" applyFill="1" applyBorder="1" applyAlignment="1" applyProtection="1">
      <alignment horizontal="center"/>
    </xf>
    <xf numFmtId="4" fontId="24" fillId="25" borderId="15" xfId="0" applyNumberFormat="1" applyFont="1" applyFill="1" applyBorder="1" applyAlignment="1" applyProtection="1">
      <alignment horizontal="center"/>
    </xf>
    <xf numFmtId="168" fontId="24" fillId="25" borderId="15" xfId="0" applyNumberFormat="1" applyFont="1" applyFill="1" applyBorder="1" applyAlignment="1" applyProtection="1">
      <alignment horizontal="center"/>
    </xf>
    <xf numFmtId="168" fontId="24" fillId="25" borderId="0" xfId="0" applyNumberFormat="1" applyFont="1" applyFill="1" applyBorder="1" applyAlignment="1" applyProtection="1">
      <alignment horizontal="center"/>
    </xf>
    <xf numFmtId="0" fontId="24" fillId="25" borderId="13" xfId="0" applyFont="1" applyFill="1" applyBorder="1" applyAlignment="1" applyProtection="1">
      <alignment horizontal="center"/>
    </xf>
    <xf numFmtId="4" fontId="23" fillId="25" borderId="15" xfId="0" applyNumberFormat="1" applyFont="1" applyFill="1" applyBorder="1" applyAlignment="1" applyProtection="1">
      <alignment horizontal="center"/>
    </xf>
    <xf numFmtId="168" fontId="23" fillId="25" borderId="15" xfId="0" applyNumberFormat="1" applyFont="1" applyFill="1" applyBorder="1" applyAlignment="1" applyProtection="1">
      <alignment horizontal="center"/>
    </xf>
    <xf numFmtId="168" fontId="23" fillId="25" borderId="0" xfId="0" applyNumberFormat="1" applyFont="1" applyFill="1" applyBorder="1" applyAlignment="1" applyProtection="1">
      <alignment horizontal="center"/>
    </xf>
    <xf numFmtId="0" fontId="24" fillId="25" borderId="13" xfId="0" applyFont="1" applyFill="1" applyBorder="1" applyAlignment="1" applyProtection="1">
      <alignment horizontal="left"/>
    </xf>
    <xf numFmtId="0" fontId="23" fillId="25" borderId="0" xfId="0" applyFont="1" applyFill="1" applyBorder="1" applyAlignment="1" applyProtection="1"/>
    <xf numFmtId="3" fontId="23" fillId="25" borderId="15" xfId="0" applyNumberFormat="1" applyFont="1" applyFill="1" applyBorder="1" applyAlignment="1" applyProtection="1">
      <alignment horizontal="center"/>
    </xf>
    <xf numFmtId="3" fontId="26" fillId="25" borderId="15" xfId="0" applyNumberFormat="1" applyFont="1" applyFill="1" applyBorder="1" applyAlignment="1" applyProtection="1">
      <alignment horizontal="center"/>
    </xf>
    <xf numFmtId="0" fontId="23" fillId="25" borderId="13" xfId="0" applyFont="1" applyFill="1" applyBorder="1" applyAlignment="1" applyProtection="1">
      <alignment horizontal="left"/>
    </xf>
    <xf numFmtId="0" fontId="23" fillId="25" borderId="13" xfId="0" applyFont="1" applyFill="1" applyBorder="1" applyProtection="1"/>
    <xf numFmtId="3" fontId="23" fillId="25" borderId="15" xfId="0" applyNumberFormat="1" applyFont="1" applyFill="1" applyBorder="1" applyProtection="1"/>
    <xf numFmtId="0" fontId="23" fillId="25" borderId="19" xfId="0" applyFont="1" applyFill="1" applyBorder="1" applyAlignment="1" applyProtection="1">
      <alignment horizontal="fill"/>
    </xf>
    <xf numFmtId="0" fontId="23" fillId="25" borderId="12" xfId="0" applyFont="1" applyFill="1" applyBorder="1" applyAlignment="1" applyProtection="1">
      <alignment horizontal="center"/>
    </xf>
    <xf numFmtId="0" fontId="23" fillId="25" borderId="11" xfId="0" applyFont="1" applyFill="1" applyBorder="1" applyAlignment="1" applyProtection="1">
      <alignment horizontal="center"/>
    </xf>
    <xf numFmtId="0" fontId="24" fillId="25" borderId="12" xfId="0" applyFont="1" applyFill="1" applyBorder="1" applyProtection="1"/>
    <xf numFmtId="0" fontId="24" fillId="25" borderId="11" xfId="0" applyFont="1" applyFill="1" applyBorder="1" applyProtection="1"/>
    <xf numFmtId="0" fontId="24" fillId="25" borderId="17" xfId="0" applyFont="1" applyFill="1" applyBorder="1" applyProtection="1"/>
    <xf numFmtId="3" fontId="23" fillId="0" borderId="0" xfId="0" applyNumberFormat="1" applyFont="1" applyFill="1" applyBorder="1" applyProtection="1"/>
    <xf numFmtId="3" fontId="23" fillId="24" borderId="0" xfId="0" applyNumberFormat="1" applyFont="1" applyFill="1" applyBorder="1" applyAlignment="1" applyProtection="1">
      <alignment horizontal="center"/>
    </xf>
    <xf numFmtId="0" fontId="24" fillId="25" borderId="22" xfId="0" applyFont="1" applyFill="1" applyBorder="1" applyAlignment="1" applyProtection="1">
      <alignment horizontal="center"/>
    </xf>
    <xf numFmtId="14" fontId="24" fillId="25" borderId="16" xfId="0" applyNumberFormat="1" applyFont="1" applyFill="1" applyBorder="1" applyAlignment="1" applyProtection="1">
      <alignment horizontal="center"/>
    </xf>
    <xf numFmtId="14" fontId="24" fillId="25" borderId="0" xfId="0" applyNumberFormat="1" applyFont="1" applyFill="1" applyBorder="1" applyAlignment="1" applyProtection="1">
      <alignment horizontal="center"/>
    </xf>
    <xf numFmtId="0" fontId="25" fillId="25" borderId="14" xfId="0" applyFont="1" applyFill="1" applyBorder="1" applyAlignment="1" applyProtection="1">
      <alignment horizontal="center"/>
    </xf>
    <xf numFmtId="0" fontId="25" fillId="25" borderId="15" xfId="0" applyFont="1" applyFill="1" applyBorder="1" applyAlignment="1" applyProtection="1">
      <alignment horizontal="center"/>
    </xf>
    <xf numFmtId="0" fontId="25" fillId="25" borderId="18" xfId="0" applyFont="1" applyFill="1" applyBorder="1" applyAlignment="1" applyProtection="1">
      <alignment horizontal="center"/>
    </xf>
    <xf numFmtId="0" fontId="23" fillId="25" borderId="16" xfId="0" applyFont="1" applyFill="1" applyBorder="1" applyAlignment="1" applyProtection="1">
      <alignment horizontal="center"/>
    </xf>
    <xf numFmtId="0" fontId="23" fillId="25" borderId="13" xfId="0" applyFont="1" applyFill="1" applyBorder="1" applyAlignment="1" applyProtection="1"/>
    <xf numFmtId="0" fontId="23" fillId="25" borderId="0" xfId="0" applyFont="1" applyFill="1" applyBorder="1" applyAlignment="1" applyProtection="1">
      <alignment horizontal="left"/>
    </xf>
    <xf numFmtId="3" fontId="23" fillId="25" borderId="16" xfId="0" applyNumberFormat="1" applyFont="1" applyFill="1" applyBorder="1" applyAlignment="1" applyProtection="1">
      <alignment horizontal="center"/>
    </xf>
    <xf numFmtId="0" fontId="24" fillId="25" borderId="0" xfId="0" applyFont="1" applyFill="1" applyBorder="1" applyAlignment="1" applyProtection="1">
      <alignment horizontal="left"/>
    </xf>
    <xf numFmtId="0" fontId="23" fillId="25" borderId="16" xfId="0" applyFont="1" applyFill="1" applyBorder="1" applyProtection="1"/>
    <xf numFmtId="0" fontId="23" fillId="25" borderId="17" xfId="0" applyFont="1" applyFill="1" applyBorder="1" applyProtection="1"/>
    <xf numFmtId="0" fontId="23" fillId="25" borderId="11" xfId="0" applyFont="1" applyFill="1" applyBorder="1" applyProtection="1"/>
    <xf numFmtId="0" fontId="23" fillId="0" borderId="0" xfId="0" applyFont="1" applyFill="1" applyProtection="1"/>
    <xf numFmtId="0" fontId="24" fillId="0" borderId="0" xfId="0" applyFont="1" applyFill="1" applyProtection="1"/>
    <xf numFmtId="0" fontId="23" fillId="0" borderId="0" xfId="0" applyFont="1" applyFill="1" applyAlignment="1" applyProtection="1">
      <alignment horizontal="center"/>
    </xf>
    <xf numFmtId="0" fontId="23" fillId="24" borderId="0" xfId="0" applyFont="1" applyFill="1" applyProtection="1"/>
    <xf numFmtId="0" fontId="23" fillId="25" borderId="20" xfId="0" applyFont="1" applyFill="1" applyBorder="1" applyProtection="1"/>
    <xf numFmtId="0" fontId="23" fillId="25" borderId="19" xfId="0" applyFont="1" applyFill="1" applyBorder="1" applyProtection="1"/>
    <xf numFmtId="14" fontId="24" fillId="25" borderId="17" xfId="0" applyNumberFormat="1" applyFont="1" applyFill="1" applyBorder="1" applyAlignment="1" applyProtection="1">
      <alignment horizontal="center"/>
    </xf>
    <xf numFmtId="0" fontId="24" fillId="25" borderId="0" xfId="0" applyFont="1" applyFill="1" applyBorder="1" applyProtection="1"/>
    <xf numFmtId="0" fontId="25" fillId="25" borderId="16" xfId="0" applyFont="1" applyFill="1" applyBorder="1" applyAlignment="1" applyProtection="1">
      <alignment horizontal="center"/>
    </xf>
    <xf numFmtId="3" fontId="24" fillId="25" borderId="0" xfId="0" applyNumberFormat="1" applyFont="1" applyFill="1" applyBorder="1" applyAlignment="1" applyProtection="1">
      <alignment horizontal="center"/>
    </xf>
    <xf numFmtId="0" fontId="23" fillId="25" borderId="17" xfId="0" applyFont="1" applyFill="1" applyBorder="1" applyAlignment="1" applyProtection="1">
      <alignment horizontal="center"/>
    </xf>
    <xf numFmtId="3" fontId="23" fillId="0" borderId="0" xfId="0" applyNumberFormat="1" applyFont="1" applyFill="1" applyAlignment="1" applyProtection="1">
      <alignment horizontal="center"/>
    </xf>
    <xf numFmtId="3" fontId="23" fillId="24" borderId="0" xfId="0" applyNumberFormat="1" applyFont="1" applyFill="1" applyAlignment="1" applyProtection="1">
      <alignment horizontal="center"/>
    </xf>
    <xf numFmtId="0" fontId="24" fillId="25" borderId="11" xfId="0" applyFont="1" applyFill="1" applyBorder="1" applyAlignment="1" applyProtection="1">
      <alignment horizontal="center"/>
    </xf>
    <xf numFmtId="3" fontId="24" fillId="25" borderId="16" xfId="0" applyNumberFormat="1" applyFont="1" applyFill="1" applyBorder="1" applyAlignment="1" applyProtection="1">
      <alignment horizontal="center"/>
    </xf>
    <xf numFmtId="0" fontId="23" fillId="25" borderId="0" xfId="0" applyFont="1" applyFill="1" applyProtection="1"/>
    <xf numFmtId="0" fontId="23" fillId="0" borderId="0" xfId="0" applyFont="1" applyFill="1" applyBorder="1" applyAlignment="1" applyProtection="1">
      <alignment horizontal="center" vertical="center"/>
    </xf>
    <xf numFmtId="167" fontId="24" fillId="25" borderId="20" xfId="0" applyNumberFormat="1" applyFont="1" applyFill="1" applyBorder="1" applyAlignment="1" applyProtection="1">
      <alignment horizontal="center"/>
    </xf>
    <xf numFmtId="0" fontId="24" fillId="25" borderId="19" xfId="0" applyFont="1" applyFill="1" applyBorder="1" applyAlignment="1" applyProtection="1">
      <alignment horizontal="fill"/>
    </xf>
    <xf numFmtId="0" fontId="25" fillId="25" borderId="0" xfId="0" applyFont="1" applyFill="1" applyBorder="1" applyAlignment="1" applyProtection="1">
      <alignment horizontal="center"/>
    </xf>
    <xf numFmtId="0" fontId="24" fillId="25" borderId="0" xfId="0" applyFont="1" applyFill="1" applyBorder="1" applyAlignment="1" applyProtection="1">
      <alignment horizontal="left" vertical="center"/>
    </xf>
    <xf numFmtId="3" fontId="24" fillId="25" borderId="15" xfId="0" applyNumberFormat="1" applyFont="1" applyFill="1" applyBorder="1" applyAlignment="1" applyProtection="1">
      <alignment horizontal="center" vertical="center"/>
    </xf>
    <xf numFmtId="0" fontId="23" fillId="25" borderId="13" xfId="0" applyFont="1" applyFill="1" applyBorder="1" applyAlignment="1" applyProtection="1">
      <alignment horizontal="center"/>
    </xf>
    <xf numFmtId="3" fontId="24" fillId="25" borderId="0" xfId="0" applyNumberFormat="1" applyFont="1" applyFill="1" applyBorder="1" applyAlignment="1" applyProtection="1">
      <alignment horizontal="center" vertical="center"/>
    </xf>
    <xf numFmtId="0" fontId="23" fillId="25" borderId="0" xfId="0" applyFont="1" applyFill="1" applyBorder="1" applyAlignment="1" applyProtection="1">
      <alignment vertical="center"/>
    </xf>
    <xf numFmtId="3" fontId="23" fillId="25" borderId="15" xfId="0" applyNumberFormat="1" applyFont="1" applyFill="1" applyBorder="1" applyAlignment="1" applyProtection="1">
      <alignment horizontal="center" vertical="center"/>
    </xf>
    <xf numFmtId="0" fontId="23" fillId="25" borderId="0" xfId="0" applyFont="1" applyFill="1" applyBorder="1" applyAlignment="1" applyProtection="1">
      <alignment horizontal="left" vertical="center"/>
    </xf>
    <xf numFmtId="0" fontId="24" fillId="0" borderId="0" xfId="0" applyFont="1" applyFill="1" applyBorder="1" applyAlignment="1" applyProtection="1">
      <alignment horizontal="center"/>
    </xf>
    <xf numFmtId="0" fontId="24" fillId="0" borderId="0" xfId="0" applyFont="1" applyFill="1" applyAlignment="1" applyProtection="1">
      <alignment horizontal="center"/>
    </xf>
    <xf numFmtId="0" fontId="23" fillId="0" borderId="0" xfId="0" applyFont="1" applyFill="1" applyBorder="1" applyAlignment="1" applyProtection="1">
      <alignment horizontal="left"/>
    </xf>
    <xf numFmtId="0" fontId="23" fillId="0" borderId="0" xfId="0" applyFont="1" applyFill="1" applyAlignment="1" applyProtection="1">
      <alignment horizontal="left"/>
    </xf>
    <xf numFmtId="0" fontId="23" fillId="25" borderId="17" xfId="0" applyFont="1" applyFill="1" applyBorder="1" applyAlignment="1" applyProtection="1">
      <alignment horizontal="left"/>
    </xf>
    <xf numFmtId="169" fontId="23" fillId="0" borderId="0" xfId="0" applyNumberFormat="1" applyFont="1" applyFill="1" applyAlignment="1" applyProtection="1">
      <alignment horizontal="center"/>
    </xf>
    <xf numFmtId="0" fontId="24" fillId="24" borderId="0" xfId="0" applyFont="1" applyFill="1" applyProtection="1"/>
    <xf numFmtId="0" fontId="24" fillId="25" borderId="0" xfId="0" applyFont="1" applyFill="1" applyAlignment="1" applyProtection="1">
      <alignment horizontal="center"/>
    </xf>
    <xf numFmtId="0" fontId="24" fillId="25" borderId="20" xfId="0" applyFont="1" applyFill="1" applyBorder="1" applyAlignment="1" applyProtection="1">
      <alignment horizontal="fill"/>
    </xf>
    <xf numFmtId="169" fontId="25" fillId="25" borderId="14" xfId="0" applyNumberFormat="1" applyFont="1" applyFill="1" applyBorder="1" applyAlignment="1" applyProtection="1">
      <alignment horizontal="center"/>
    </xf>
    <xf numFmtId="169" fontId="25" fillId="25" borderId="15" xfId="0" applyNumberFormat="1" applyFont="1" applyFill="1" applyBorder="1" applyAlignment="1" applyProtection="1">
      <alignment horizontal="center"/>
    </xf>
    <xf numFmtId="169" fontId="25" fillId="25" borderId="18" xfId="0" applyNumberFormat="1" applyFont="1" applyFill="1" applyBorder="1" applyAlignment="1" applyProtection="1">
      <alignment horizontal="center"/>
    </xf>
    <xf numFmtId="169" fontId="24" fillId="25" borderId="13" xfId="0" applyNumberFormat="1" applyFont="1" applyFill="1" applyBorder="1" applyAlignment="1" applyProtection="1"/>
    <xf numFmtId="169" fontId="23" fillId="25" borderId="13" xfId="0" applyNumberFormat="1" applyFont="1" applyFill="1" applyBorder="1" applyAlignment="1" applyProtection="1"/>
    <xf numFmtId="169" fontId="24" fillId="25" borderId="13" xfId="0" applyNumberFormat="1" applyFont="1" applyFill="1" applyBorder="1" applyAlignment="1" applyProtection="1">
      <alignment horizontal="left"/>
    </xf>
    <xf numFmtId="169" fontId="23" fillId="25" borderId="13" xfId="0" applyNumberFormat="1" applyFont="1" applyFill="1" applyBorder="1" applyAlignment="1" applyProtection="1">
      <alignment horizontal="left"/>
    </xf>
    <xf numFmtId="0" fontId="24" fillId="25" borderId="0" xfId="0" applyFont="1" applyFill="1" applyProtection="1"/>
    <xf numFmtId="169" fontId="23" fillId="25" borderId="12" xfId="0" applyNumberFormat="1" applyFont="1" applyFill="1" applyBorder="1" applyAlignment="1" applyProtection="1">
      <alignment horizontal="center"/>
    </xf>
    <xf numFmtId="169" fontId="23" fillId="25" borderId="11" xfId="0" applyNumberFormat="1" applyFont="1" applyFill="1" applyBorder="1" applyAlignment="1" applyProtection="1">
      <alignment horizontal="center"/>
    </xf>
    <xf numFmtId="169" fontId="23" fillId="0" borderId="0" xfId="0" applyNumberFormat="1" applyFont="1" applyFill="1" applyBorder="1" applyAlignment="1" applyProtection="1">
      <alignment horizontal="center"/>
    </xf>
    <xf numFmtId="0" fontId="24" fillId="24" borderId="17" xfId="0" applyFont="1" applyFill="1" applyBorder="1" applyAlignment="1" applyProtection="1">
      <alignment horizontal="fill"/>
    </xf>
    <xf numFmtId="167" fontId="23" fillId="25" borderId="0" xfId="0" applyNumberFormat="1" applyFont="1" applyFill="1" applyAlignment="1" applyProtection="1">
      <alignment horizontal="center"/>
    </xf>
    <xf numFmtId="14" fontId="24" fillId="25" borderId="15" xfId="0" applyNumberFormat="1" applyFont="1" applyFill="1" applyBorder="1" applyAlignment="1" applyProtection="1">
      <alignment horizontal="center"/>
    </xf>
    <xf numFmtId="169" fontId="25" fillId="25" borderId="22" xfId="0" applyNumberFormat="1" applyFont="1" applyFill="1" applyBorder="1" applyAlignment="1" applyProtection="1">
      <alignment horizontal="center"/>
    </xf>
    <xf numFmtId="0" fontId="23" fillId="25" borderId="18" xfId="0" applyFont="1" applyFill="1" applyBorder="1" applyProtection="1"/>
    <xf numFmtId="168" fontId="24" fillId="25" borderId="16" xfId="0" applyNumberFormat="1" applyFont="1" applyFill="1" applyBorder="1" applyAlignment="1" applyProtection="1">
      <alignment horizontal="center"/>
    </xf>
    <xf numFmtId="168" fontId="23" fillId="25" borderId="16" xfId="0" applyNumberFormat="1" applyFont="1" applyFill="1" applyBorder="1" applyAlignment="1" applyProtection="1">
      <alignment horizontal="center"/>
    </xf>
    <xf numFmtId="0" fontId="27" fillId="0" borderId="0" xfId="0" applyFont="1" applyFill="1" applyBorder="1" applyProtection="1"/>
    <xf numFmtId="0" fontId="27" fillId="0" borderId="0" xfId="0" applyFont="1" applyFill="1" applyProtection="1"/>
    <xf numFmtId="1" fontId="23" fillId="0" borderId="0" xfId="0" applyNumberFormat="1" applyFont="1" applyFill="1" applyAlignment="1" applyProtection="1">
      <alignment horizontal="center"/>
    </xf>
    <xf numFmtId="0" fontId="23" fillId="24" borderId="0" xfId="0" applyFont="1" applyFill="1" applyAlignment="1" applyProtection="1">
      <alignment horizontal="center"/>
    </xf>
    <xf numFmtId="167" fontId="23" fillId="25" borderId="20" xfId="0" applyNumberFormat="1" applyFont="1" applyFill="1" applyBorder="1" applyAlignment="1" applyProtection="1">
      <alignment horizontal="center" vertical="center" wrapText="1"/>
    </xf>
    <xf numFmtId="0" fontId="24" fillId="25" borderId="15" xfId="0" applyFont="1" applyFill="1" applyBorder="1" applyAlignment="1" applyProtection="1">
      <alignment horizontal="center" vertical="center"/>
    </xf>
    <xf numFmtId="167" fontId="24" fillId="25" borderId="13" xfId="0" applyNumberFormat="1" applyFont="1" applyFill="1" applyBorder="1" applyAlignment="1" applyProtection="1">
      <alignment horizontal="center" vertical="center"/>
    </xf>
    <xf numFmtId="0" fontId="24" fillId="25" borderId="16" xfId="0" applyFont="1" applyFill="1" applyBorder="1" applyAlignment="1" applyProtection="1">
      <alignment horizontal="center" vertical="center"/>
    </xf>
    <xf numFmtId="0" fontId="24" fillId="25" borderId="12" xfId="0" applyFont="1" applyFill="1" applyBorder="1" applyAlignment="1" applyProtection="1">
      <alignment horizontal="center" vertical="center"/>
    </xf>
    <xf numFmtId="167" fontId="24" fillId="25" borderId="20" xfId="0" applyNumberFormat="1" applyFont="1" applyFill="1" applyBorder="1" applyAlignment="1" applyProtection="1">
      <alignment horizontal="center" vertical="center" wrapText="1"/>
    </xf>
    <xf numFmtId="0" fontId="25" fillId="25" borderId="14" xfId="0" applyNumberFormat="1" applyFont="1" applyFill="1" applyBorder="1" applyAlignment="1" applyProtection="1">
      <alignment horizontal="center"/>
    </xf>
    <xf numFmtId="0" fontId="25" fillId="25" borderId="14" xfId="0" applyFont="1" applyFill="1" applyBorder="1" applyAlignment="1" applyProtection="1">
      <alignment horizontal="center" vertical="center" wrapText="1"/>
    </xf>
    <xf numFmtId="0" fontId="23" fillId="0" borderId="0" xfId="0" applyFont="1" applyFill="1" applyAlignment="1"/>
    <xf numFmtId="0" fontId="23" fillId="0" borderId="0" xfId="0" applyFont="1" applyFill="1" applyBorder="1" applyAlignment="1"/>
    <xf numFmtId="0" fontId="24" fillId="0" borderId="0" xfId="0" applyFont="1" applyFill="1" applyAlignment="1" applyProtection="1">
      <alignment horizontal="left"/>
    </xf>
    <xf numFmtId="3" fontId="23" fillId="0" borderId="0" xfId="0" applyNumberFormat="1" applyFont="1" applyFill="1" applyBorder="1" applyAlignment="1">
      <alignment horizontal="center"/>
    </xf>
    <xf numFmtId="0" fontId="24" fillId="0" borderId="0" xfId="0" applyFont="1" applyFill="1" applyAlignment="1"/>
    <xf numFmtId="0" fontId="23" fillId="24" borderId="0" xfId="0" applyFont="1" applyFill="1" applyBorder="1" applyAlignment="1"/>
    <xf numFmtId="0" fontId="23" fillId="25" borderId="20" xfId="0" applyFont="1" applyFill="1" applyBorder="1" applyAlignment="1" applyProtection="1">
      <alignment horizontal="fill"/>
    </xf>
    <xf numFmtId="0" fontId="23" fillId="25" borderId="14" xfId="0" applyFont="1" applyFill="1" applyBorder="1" applyAlignment="1"/>
    <xf numFmtId="0" fontId="23" fillId="25" borderId="15" xfId="0" applyFont="1" applyFill="1" applyBorder="1" applyAlignment="1"/>
    <xf numFmtId="0" fontId="24" fillId="25" borderId="0" xfId="0" applyFont="1" applyFill="1" applyBorder="1" applyAlignment="1">
      <alignment horizontal="center"/>
    </xf>
    <xf numFmtId="0" fontId="24" fillId="25" borderId="14" xfId="0" applyFont="1" applyFill="1" applyBorder="1" applyAlignment="1">
      <alignment horizontal="center"/>
    </xf>
    <xf numFmtId="0" fontId="24" fillId="25" borderId="18" xfId="0" applyFont="1" applyFill="1" applyBorder="1" applyAlignment="1">
      <alignment horizontal="center"/>
    </xf>
    <xf numFmtId="0" fontId="23" fillId="25" borderId="19" xfId="0" applyFont="1" applyFill="1" applyBorder="1" applyAlignment="1"/>
    <xf numFmtId="14" fontId="24" fillId="25" borderId="13" xfId="0" applyNumberFormat="1" applyFont="1" applyFill="1" applyBorder="1" applyAlignment="1" applyProtection="1">
      <alignment horizontal="center"/>
    </xf>
    <xf numFmtId="0" fontId="23" fillId="25" borderId="12" xfId="0" applyFont="1" applyFill="1" applyBorder="1" applyAlignment="1"/>
    <xf numFmtId="0" fontId="24" fillId="25" borderId="17" xfId="0" applyFont="1" applyFill="1" applyBorder="1" applyAlignment="1">
      <alignment horizontal="center"/>
    </xf>
    <xf numFmtId="0" fontId="24" fillId="25" borderId="12" xfId="0" applyFont="1" applyFill="1" applyBorder="1" applyAlignment="1">
      <alignment horizontal="center"/>
    </xf>
    <xf numFmtId="0" fontId="24" fillId="25" borderId="11" xfId="0" applyFont="1" applyFill="1" applyBorder="1" applyAlignment="1">
      <alignment horizontal="center"/>
    </xf>
    <xf numFmtId="0" fontId="23" fillId="25" borderId="13" xfId="0" applyFont="1" applyFill="1" applyBorder="1" applyAlignment="1" applyProtection="1">
      <alignment horizontal="fill"/>
    </xf>
    <xf numFmtId="0" fontId="25" fillId="25" borderId="15" xfId="0" applyFont="1" applyFill="1" applyBorder="1" applyAlignment="1">
      <alignment horizontal="center"/>
    </xf>
    <xf numFmtId="0" fontId="25" fillId="25" borderId="16" xfId="0" applyFont="1" applyFill="1" applyBorder="1" applyAlignment="1">
      <alignment horizontal="center"/>
    </xf>
    <xf numFmtId="0" fontId="23" fillId="25" borderId="0" xfId="0" applyFont="1" applyFill="1" applyBorder="1" applyAlignment="1"/>
    <xf numFmtId="0" fontId="23" fillId="25" borderId="18" xfId="0" applyFont="1" applyFill="1" applyBorder="1" applyAlignment="1"/>
    <xf numFmtId="0" fontId="24" fillId="25" borderId="0" xfId="0" applyFont="1" applyFill="1" applyAlignment="1">
      <alignment horizontal="left"/>
    </xf>
    <xf numFmtId="3" fontId="24" fillId="25" borderId="15" xfId="0" applyNumberFormat="1" applyFont="1" applyFill="1" applyBorder="1" applyAlignment="1">
      <alignment horizontal="center"/>
    </xf>
    <xf numFmtId="4" fontId="24" fillId="25" borderId="15" xfId="0" applyNumberFormat="1" applyFont="1" applyFill="1" applyBorder="1" applyAlignment="1">
      <alignment horizontal="center"/>
    </xf>
    <xf numFmtId="168" fontId="24" fillId="25" borderId="15" xfId="0" applyNumberFormat="1" applyFont="1" applyFill="1" applyBorder="1" applyAlignment="1">
      <alignment horizontal="center"/>
    </xf>
    <xf numFmtId="168" fontId="24" fillId="25" borderId="16" xfId="0" applyNumberFormat="1" applyFont="1" applyFill="1" applyBorder="1" applyAlignment="1">
      <alignment horizontal="center"/>
    </xf>
    <xf numFmtId="0" fontId="23" fillId="25" borderId="0" xfId="0" applyFont="1" applyFill="1" applyAlignment="1">
      <alignment horizontal="left"/>
    </xf>
    <xf numFmtId="3" fontId="23" fillId="25" borderId="15" xfId="0" applyNumberFormat="1" applyFont="1" applyFill="1" applyBorder="1" applyAlignment="1"/>
    <xf numFmtId="3" fontId="23" fillId="25" borderId="0" xfId="0" applyNumberFormat="1" applyFont="1" applyFill="1" applyBorder="1" applyAlignment="1"/>
    <xf numFmtId="4" fontId="23" fillId="25" borderId="15" xfId="0" applyNumberFormat="1" applyFont="1" applyFill="1" applyBorder="1" applyAlignment="1">
      <alignment horizontal="center"/>
    </xf>
    <xf numFmtId="168" fontId="23" fillId="25" borderId="15" xfId="0" applyNumberFormat="1" applyFont="1" applyFill="1" applyBorder="1" applyAlignment="1">
      <alignment horizontal="center"/>
    </xf>
    <xf numFmtId="168" fontId="23" fillId="25" borderId="16" xfId="0" applyNumberFormat="1" applyFont="1" applyFill="1" applyBorder="1" applyAlignment="1">
      <alignment horizontal="center"/>
    </xf>
    <xf numFmtId="0" fontId="24" fillId="25" borderId="0" xfId="74" applyFont="1" applyFill="1" applyBorder="1" applyAlignment="1" applyProtection="1">
      <alignment horizontal="left" vertical="center"/>
    </xf>
    <xf numFmtId="0" fontId="23" fillId="25" borderId="0" xfId="0" applyFont="1" applyFill="1" applyBorder="1" applyAlignment="1">
      <alignment horizontal="left"/>
    </xf>
    <xf numFmtId="0" fontId="23" fillId="25" borderId="0" xfId="74" applyFont="1" applyFill="1" applyBorder="1" applyAlignment="1">
      <alignment horizontal="left" vertical="center"/>
    </xf>
    <xf numFmtId="0" fontId="23" fillId="25" borderId="0" xfId="0" applyFont="1" applyFill="1" applyAlignment="1"/>
    <xf numFmtId="0" fontId="23" fillId="25" borderId="0" xfId="74" applyFont="1" applyFill="1" applyBorder="1" applyAlignment="1" applyProtection="1">
      <alignment horizontal="left" vertical="center"/>
    </xf>
    <xf numFmtId="0" fontId="23" fillId="25" borderId="16" xfId="0" applyFont="1" applyFill="1" applyBorder="1" applyAlignment="1"/>
    <xf numFmtId="0" fontId="23" fillId="25" borderId="11" xfId="0" applyFont="1" applyFill="1" applyBorder="1" applyAlignment="1">
      <alignment horizontal="center"/>
    </xf>
    <xf numFmtId="0" fontId="23" fillId="25" borderId="11" xfId="0" applyFont="1" applyFill="1" applyBorder="1" applyAlignment="1"/>
    <xf numFmtId="0" fontId="23" fillId="25" borderId="20" xfId="0" applyFont="1" applyFill="1" applyBorder="1" applyAlignment="1" applyProtection="1">
      <alignment horizontal="center"/>
    </xf>
    <xf numFmtId="0" fontId="24" fillId="25" borderId="19" xfId="0" applyFont="1" applyFill="1" applyBorder="1" applyAlignment="1" applyProtection="1">
      <alignment horizontal="center"/>
    </xf>
    <xf numFmtId="0" fontId="24" fillId="25" borderId="20" xfId="0" applyFont="1" applyFill="1" applyBorder="1" applyAlignment="1" applyProtection="1">
      <alignment horizontal="center"/>
    </xf>
    <xf numFmtId="1" fontId="28" fillId="25" borderId="14" xfId="0" applyNumberFormat="1" applyFont="1" applyFill="1" applyBorder="1" applyAlignment="1" applyProtection="1">
      <alignment horizontal="center"/>
    </xf>
    <xf numFmtId="1" fontId="28" fillId="25" borderId="18" xfId="0" applyNumberFormat="1" applyFont="1" applyFill="1" applyBorder="1" applyAlignment="1" applyProtection="1">
      <alignment horizontal="center"/>
    </xf>
    <xf numFmtId="0" fontId="23" fillId="25" borderId="0" xfId="0" applyFont="1" applyFill="1" applyBorder="1" applyAlignment="1" applyProtection="1">
      <alignment horizontal="center"/>
    </xf>
    <xf numFmtId="0" fontId="0" fillId="0" borderId="0" xfId="0" applyFill="1" applyProtection="1"/>
    <xf numFmtId="1" fontId="25" fillId="25" borderId="22" xfId="0" applyNumberFormat="1" applyFont="1" applyFill="1" applyBorder="1" applyAlignment="1" applyProtection="1">
      <alignment horizontal="center"/>
    </xf>
    <xf numFmtId="0" fontId="24" fillId="25" borderId="0" xfId="0" applyFont="1" applyFill="1" applyBorder="1" applyAlignment="1" applyProtection="1"/>
    <xf numFmtId="0" fontId="24" fillId="25" borderId="0" xfId="0" applyFont="1" applyFill="1" applyBorder="1" applyAlignment="1" applyProtection="1">
      <alignment horizontal="right"/>
    </xf>
    <xf numFmtId="0" fontId="15" fillId="0" borderId="0" xfId="0" applyFont="1" applyFill="1" applyProtection="1"/>
    <xf numFmtId="0" fontId="0" fillId="0" borderId="0" xfId="0" applyFill="1" applyBorder="1" applyProtection="1"/>
    <xf numFmtId="0" fontId="0" fillId="25" borderId="17" xfId="0" applyFill="1" applyBorder="1" applyProtection="1"/>
    <xf numFmtId="0" fontId="0" fillId="25" borderId="11" xfId="0" applyFill="1" applyBorder="1" applyProtection="1"/>
    <xf numFmtId="0" fontId="23" fillId="0" borderId="0" xfId="0" applyFont="1" applyFill="1"/>
    <xf numFmtId="0" fontId="23" fillId="0" borderId="0" xfId="0" applyFont="1" applyFill="1" applyBorder="1"/>
    <xf numFmtId="0" fontId="24" fillId="0" borderId="0" xfId="0" applyFont="1" applyFill="1"/>
    <xf numFmtId="0" fontId="23" fillId="24" borderId="0" xfId="0" applyFont="1" applyFill="1" applyBorder="1"/>
    <xf numFmtId="0" fontId="23" fillId="25" borderId="14" xfId="0" applyFont="1" applyFill="1" applyBorder="1"/>
    <xf numFmtId="0" fontId="24" fillId="25" borderId="15" xfId="0" applyFont="1" applyFill="1" applyBorder="1" applyAlignment="1">
      <alignment horizontal="center"/>
    </xf>
    <xf numFmtId="0" fontId="23" fillId="25" borderId="15" xfId="0" applyFont="1" applyFill="1" applyBorder="1"/>
    <xf numFmtId="0" fontId="23" fillId="25" borderId="19" xfId="0" applyFont="1" applyFill="1" applyBorder="1"/>
    <xf numFmtId="0" fontId="23" fillId="25" borderId="12" xfId="0" applyFont="1" applyFill="1" applyBorder="1"/>
    <xf numFmtId="0" fontId="24" fillId="25" borderId="13" xfId="0" applyFont="1" applyFill="1" applyBorder="1"/>
    <xf numFmtId="0" fontId="25" fillId="25" borderId="14" xfId="0" applyFont="1" applyFill="1" applyBorder="1" applyAlignment="1">
      <alignment horizontal="center"/>
    </xf>
    <xf numFmtId="0" fontId="25" fillId="25" borderId="18" xfId="0" applyNumberFormat="1" applyFont="1" applyFill="1" applyBorder="1" applyAlignment="1" applyProtection="1">
      <alignment horizontal="center"/>
    </xf>
    <xf numFmtId="0" fontId="23" fillId="25" borderId="0" xfId="0" applyFont="1" applyFill="1" applyBorder="1"/>
    <xf numFmtId="0" fontId="23" fillId="25" borderId="18" xfId="0" applyFont="1" applyFill="1" applyBorder="1"/>
    <xf numFmtId="0" fontId="24" fillId="25" borderId="13" xfId="0" applyFont="1" applyFill="1" applyBorder="1" applyAlignment="1" applyProtection="1">
      <alignment horizontal="right"/>
    </xf>
    <xf numFmtId="0" fontId="23" fillId="25" borderId="13" xfId="0" applyFont="1" applyFill="1" applyBorder="1"/>
    <xf numFmtId="0" fontId="26" fillId="25" borderId="13" xfId="0" applyFont="1" applyFill="1" applyBorder="1" applyAlignment="1" applyProtection="1">
      <alignment horizontal="left"/>
    </xf>
    <xf numFmtId="0" fontId="26" fillId="25" borderId="0" xfId="0" applyFont="1" applyFill="1" applyBorder="1" applyAlignment="1" applyProtection="1">
      <alignment horizontal="left"/>
    </xf>
    <xf numFmtId="0" fontId="26" fillId="25" borderId="17" xfId="0" applyFont="1" applyFill="1" applyBorder="1" applyAlignment="1" applyProtection="1">
      <alignment horizontal="left"/>
    </xf>
    <xf numFmtId="0" fontId="23" fillId="25" borderId="11" xfId="0" applyFont="1" applyFill="1" applyBorder="1"/>
    <xf numFmtId="0" fontId="23" fillId="0" borderId="0" xfId="0" applyFont="1" applyFill="1" applyBorder="1" applyAlignment="1">
      <alignment horizontal="center"/>
    </xf>
    <xf numFmtId="0" fontId="24" fillId="24" borderId="0" xfId="0" applyFont="1" applyFill="1" applyAlignment="1" applyProtection="1">
      <alignment horizontal="center"/>
    </xf>
    <xf numFmtId="0" fontId="24" fillId="25" borderId="22" xfId="0" applyFont="1" applyFill="1" applyBorder="1" applyAlignment="1" applyProtection="1">
      <alignment horizontal="fill"/>
    </xf>
    <xf numFmtId="0" fontId="24" fillId="25" borderId="20" xfId="0" applyFont="1" applyFill="1" applyBorder="1" applyProtection="1"/>
    <xf numFmtId="0" fontId="28" fillId="25" borderId="14" xfId="0" applyFont="1" applyFill="1" applyBorder="1" applyAlignment="1" applyProtection="1">
      <alignment horizontal="center"/>
    </xf>
    <xf numFmtId="0" fontId="28" fillId="25" borderId="18" xfId="0" applyFont="1" applyFill="1" applyBorder="1" applyAlignment="1" applyProtection="1">
      <alignment horizontal="center"/>
    </xf>
    <xf numFmtId="0" fontId="23" fillId="25" borderId="19" xfId="0" applyFont="1" applyFill="1" applyBorder="1" applyAlignment="1" applyProtection="1"/>
    <xf numFmtId="14" fontId="24" fillId="25" borderId="12" xfId="0" applyNumberFormat="1" applyFont="1" applyFill="1" applyBorder="1" applyAlignment="1" applyProtection="1">
      <alignment horizontal="center"/>
    </xf>
    <xf numFmtId="0" fontId="24" fillId="25" borderId="13" xfId="0" applyFont="1" applyFill="1" applyBorder="1" applyAlignment="1" applyProtection="1">
      <alignment horizontal="fill"/>
    </xf>
    <xf numFmtId="169" fontId="23" fillId="25" borderId="15" xfId="0" applyNumberFormat="1" applyFont="1" applyFill="1" applyBorder="1" applyAlignment="1" applyProtection="1">
      <alignment horizontal="center"/>
    </xf>
    <xf numFmtId="169" fontId="23" fillId="25" borderId="16" xfId="0" applyNumberFormat="1" applyFont="1" applyFill="1" applyBorder="1" applyAlignment="1" applyProtection="1">
      <alignment horizontal="center"/>
    </xf>
    <xf numFmtId="0" fontId="23" fillId="25" borderId="19" xfId="0" applyFont="1" applyFill="1" applyBorder="1" applyAlignment="1" applyProtection="1">
      <alignment horizontal="left"/>
    </xf>
    <xf numFmtId="0" fontId="24" fillId="24" borderId="0" xfId="0" applyFont="1" applyFill="1" applyAlignment="1" applyProtection="1">
      <alignment horizontal="left"/>
    </xf>
    <xf numFmtId="14" fontId="24" fillId="25" borderId="19" xfId="0" applyNumberFormat="1" applyFont="1" applyFill="1" applyBorder="1" applyAlignment="1" applyProtection="1">
      <alignment horizontal="center"/>
    </xf>
    <xf numFmtId="169" fontId="25" fillId="25" borderId="15" xfId="0" applyNumberFormat="1" applyFont="1" applyFill="1" applyBorder="1" applyAlignment="1" applyProtection="1">
      <alignment horizontal="center" vertical="center"/>
    </xf>
    <xf numFmtId="169" fontId="25" fillId="25" borderId="16" xfId="0" applyNumberFormat="1" applyFont="1" applyFill="1" applyBorder="1" applyAlignment="1" applyProtection="1">
      <alignment horizontal="center"/>
    </xf>
    <xf numFmtId="0" fontId="19" fillId="0" borderId="0" xfId="0" applyFont="1" applyFill="1" applyProtection="1"/>
    <xf numFmtId="0" fontId="19" fillId="0" borderId="0" xfId="0" applyFont="1" applyFill="1" applyBorder="1" applyProtection="1"/>
    <xf numFmtId="0" fontId="20" fillId="0" borderId="0" xfId="0" applyFont="1" applyFill="1" applyProtection="1"/>
    <xf numFmtId="0" fontId="19" fillId="0" borderId="0" xfId="0" applyFont="1" applyFill="1" applyAlignment="1" applyProtection="1">
      <alignment horizontal="center"/>
    </xf>
    <xf numFmtId="0" fontId="19" fillId="24" borderId="0" xfId="0" applyFont="1" applyFill="1" applyBorder="1" applyAlignment="1" applyProtection="1">
      <alignment horizontal="center" vertical="top" wrapText="1"/>
    </xf>
    <xf numFmtId="0" fontId="19" fillId="24" borderId="0" xfId="0" applyFont="1" applyFill="1" applyBorder="1" applyProtection="1"/>
    <xf numFmtId="0" fontId="19" fillId="25" borderId="22" xfId="0" applyFont="1" applyFill="1" applyBorder="1" applyAlignment="1" applyProtection="1">
      <alignment horizontal="center" vertical="top" wrapText="1"/>
    </xf>
    <xf numFmtId="0" fontId="20" fillId="25" borderId="18" xfId="0" applyFont="1" applyFill="1" applyBorder="1" applyAlignment="1" applyProtection="1">
      <alignment horizontal="center"/>
    </xf>
    <xf numFmtId="0" fontId="20" fillId="25" borderId="17" xfId="0" applyFont="1" applyFill="1" applyBorder="1" applyAlignment="1" applyProtection="1">
      <alignment horizontal="center" vertical="top" wrapText="1"/>
    </xf>
    <xf numFmtId="0" fontId="20" fillId="25" borderId="11" xfId="0" applyFont="1" applyFill="1" applyBorder="1" applyAlignment="1" applyProtection="1">
      <alignment horizontal="center"/>
    </xf>
    <xf numFmtId="0" fontId="20" fillId="25" borderId="0" xfId="0" applyFont="1" applyFill="1" applyBorder="1" applyAlignment="1" applyProtection="1">
      <alignment horizontal="center" vertical="top" wrapText="1"/>
    </xf>
    <xf numFmtId="0" fontId="20" fillId="25" borderId="16" xfId="0" applyFont="1" applyFill="1" applyBorder="1" applyAlignment="1" applyProtection="1">
      <alignment horizontal="center"/>
    </xf>
    <xf numFmtId="0" fontId="19" fillId="25" borderId="0" xfId="0" applyFont="1" applyFill="1" applyBorder="1" applyAlignment="1" applyProtection="1">
      <alignment horizontal="justify" vertical="top" wrapText="1"/>
    </xf>
    <xf numFmtId="0" fontId="19" fillId="25" borderId="16" xfId="0" applyFont="1" applyFill="1" applyBorder="1" applyAlignment="1" applyProtection="1">
      <alignment horizontal="center"/>
    </xf>
    <xf numFmtId="0" fontId="20" fillId="25" borderId="23" xfId="0" applyFont="1" applyFill="1" applyBorder="1" applyAlignment="1" applyProtection="1">
      <alignment horizontal="center" vertical="top" wrapText="1"/>
    </xf>
    <xf numFmtId="0" fontId="20" fillId="25" borderId="24" xfId="0" applyFont="1" applyFill="1" applyBorder="1" applyAlignment="1" applyProtection="1">
      <alignment horizontal="center"/>
    </xf>
    <xf numFmtId="2" fontId="19" fillId="25" borderId="16" xfId="0" applyNumberFormat="1" applyFont="1" applyFill="1" applyBorder="1" applyAlignment="1" applyProtection="1">
      <alignment horizontal="center"/>
    </xf>
    <xf numFmtId="170" fontId="19" fillId="25" borderId="16" xfId="0" applyNumberFormat="1" applyFont="1" applyFill="1" applyBorder="1" applyAlignment="1" applyProtection="1">
      <alignment horizontal="center"/>
    </xf>
    <xf numFmtId="0" fontId="19" fillId="25" borderId="17" xfId="0" applyFont="1" applyFill="1" applyBorder="1" applyAlignment="1" applyProtection="1">
      <alignment horizontal="justify" vertical="top" wrapText="1"/>
    </xf>
    <xf numFmtId="0" fontId="19" fillId="25" borderId="11" xfId="0" applyFont="1" applyFill="1" applyBorder="1" applyAlignment="1" applyProtection="1">
      <alignment horizontal="center"/>
    </xf>
    <xf numFmtId="0" fontId="19" fillId="0" borderId="0" xfId="0" applyFont="1" applyFill="1" applyBorder="1" applyAlignment="1" applyProtection="1">
      <alignment vertical="center"/>
    </xf>
    <xf numFmtId="3" fontId="20" fillId="25" borderId="12" xfId="0" applyNumberFormat="1" applyFont="1" applyFill="1" applyBorder="1" applyAlignment="1" applyProtection="1">
      <alignment horizontal="center"/>
    </xf>
    <xf numFmtId="0" fontId="26" fillId="0" borderId="0" xfId="0" applyFont="1" applyFill="1" applyBorder="1" applyProtection="1"/>
    <xf numFmtId="0" fontId="26" fillId="0" borderId="0" xfId="0" applyFont="1" applyFill="1" applyProtection="1"/>
    <xf numFmtId="0" fontId="24" fillId="25" borderId="15" xfId="0" applyFont="1" applyFill="1" applyBorder="1" applyProtection="1"/>
    <xf numFmtId="0" fontId="24" fillId="25" borderId="16" xfId="0" applyFont="1" applyFill="1" applyBorder="1" applyProtection="1"/>
    <xf numFmtId="0" fontId="24" fillId="25" borderId="16" xfId="0" applyFont="1" applyFill="1" applyBorder="1" applyAlignment="1">
      <alignment horizontal="center"/>
    </xf>
    <xf numFmtId="0" fontId="24" fillId="0" borderId="0" xfId="0" applyFont="1" applyFill="1" applyBorder="1" applyAlignment="1"/>
    <xf numFmtId="0" fontId="24" fillId="25" borderId="16" xfId="0" applyFont="1" applyFill="1" applyBorder="1" applyAlignment="1"/>
    <xf numFmtId="0" fontId="23" fillId="25" borderId="25" xfId="0" applyFont="1" applyFill="1" applyBorder="1" applyAlignment="1" applyProtection="1">
      <alignment horizontal="center"/>
    </xf>
    <xf numFmtId="0" fontId="23" fillId="25" borderId="26" xfId="0" applyFont="1" applyFill="1" applyBorder="1" applyAlignment="1" applyProtection="1">
      <alignment horizontal="center"/>
    </xf>
    <xf numFmtId="0" fontId="24" fillId="25" borderId="25" xfId="0" applyFont="1" applyFill="1" applyBorder="1" applyAlignment="1" applyProtection="1">
      <alignment horizontal="center"/>
    </xf>
    <xf numFmtId="0" fontId="15" fillId="0" borderId="0" xfId="0" applyFont="1" applyFill="1" applyBorder="1" applyProtection="1"/>
    <xf numFmtId="14" fontId="24" fillId="25" borderId="27" xfId="0" applyNumberFormat="1" applyFont="1" applyFill="1" applyBorder="1" applyAlignment="1" applyProtection="1">
      <alignment horizontal="center"/>
    </xf>
    <xf numFmtId="0" fontId="24" fillId="25" borderId="28" xfId="0" applyFont="1" applyFill="1" applyBorder="1" applyAlignment="1" applyProtection="1">
      <alignment horizontal="center"/>
    </xf>
    <xf numFmtId="14" fontId="24" fillId="25" borderId="28" xfId="0" applyNumberFormat="1" applyFont="1" applyFill="1" applyBorder="1" applyAlignment="1" applyProtection="1">
      <alignment horizontal="center"/>
    </xf>
    <xf numFmtId="4" fontId="23" fillId="25" borderId="15" xfId="0" quotePrefix="1" applyNumberFormat="1" applyFont="1" applyFill="1" applyBorder="1" applyAlignment="1" applyProtection="1">
      <alignment horizontal="center"/>
    </xf>
    <xf numFmtId="168" fontId="23" fillId="25" borderId="16" xfId="0" quotePrefix="1" applyNumberFormat="1" applyFont="1" applyFill="1" applyBorder="1" applyAlignment="1" applyProtection="1">
      <alignment horizontal="center"/>
    </xf>
    <xf numFmtId="0" fontId="24" fillId="25" borderId="27" xfId="0" applyFont="1" applyFill="1" applyBorder="1" applyAlignment="1" applyProtection="1">
      <alignment horizontal="center"/>
    </xf>
    <xf numFmtId="3" fontId="19" fillId="25" borderId="29" xfId="0" applyNumberFormat="1" applyFont="1" applyFill="1" applyBorder="1" applyAlignment="1" applyProtection="1">
      <alignment horizontal="center"/>
    </xf>
    <xf numFmtId="3" fontId="19" fillId="25" borderId="25" xfId="0" applyNumberFormat="1" applyFont="1" applyFill="1" applyBorder="1" applyAlignment="1">
      <alignment horizontal="center"/>
    </xf>
    <xf numFmtId="3" fontId="19" fillId="25" borderId="30" xfId="0" applyNumberFormat="1" applyFont="1" applyFill="1" applyBorder="1" applyAlignment="1">
      <alignment horizontal="center"/>
    </xf>
    <xf numFmtId="3" fontId="19" fillId="25" borderId="16" xfId="0" applyNumberFormat="1" applyFont="1" applyFill="1" applyBorder="1" applyAlignment="1" applyProtection="1">
      <alignment horizontal="center" vertical="center"/>
    </xf>
    <xf numFmtId="3" fontId="19" fillId="25" borderId="16" xfId="0" applyNumberFormat="1" applyFont="1" applyFill="1" applyBorder="1" applyAlignment="1">
      <alignment horizontal="center" vertical="center"/>
    </xf>
    <xf numFmtId="0" fontId="19" fillId="25" borderId="16" xfId="0" applyFont="1" applyFill="1" applyBorder="1" applyAlignment="1">
      <alignment horizontal="center" vertical="center"/>
    </xf>
    <xf numFmtId="3" fontId="19" fillId="26" borderId="32" xfId="0" applyNumberFormat="1" applyFont="1" applyFill="1" applyBorder="1" applyAlignment="1">
      <alignment horizontal="center" vertical="center"/>
    </xf>
    <xf numFmtId="3" fontId="19" fillId="25" borderId="18" xfId="0" applyNumberFormat="1" applyFont="1" applyFill="1" applyBorder="1" applyAlignment="1">
      <alignment horizontal="center" vertical="center"/>
    </xf>
    <xf numFmtId="3" fontId="20" fillId="25" borderId="16" xfId="0" applyNumberFormat="1" applyFont="1" applyFill="1" applyBorder="1" applyAlignment="1" applyProtection="1">
      <alignment horizontal="center" vertical="center"/>
    </xf>
    <xf numFmtId="3" fontId="19" fillId="25" borderId="11" xfId="0" applyNumberFormat="1" applyFont="1" applyFill="1" applyBorder="1" applyAlignment="1">
      <alignment horizontal="center" vertical="center"/>
    </xf>
    <xf numFmtId="0" fontId="19" fillId="24" borderId="0" xfId="0" applyFont="1" applyFill="1" applyAlignment="1">
      <alignment horizontal="center" vertical="center"/>
    </xf>
    <xf numFmtId="3" fontId="19" fillId="26" borderId="32" xfId="0" applyNumberFormat="1" applyFont="1" applyFill="1" applyBorder="1" applyAlignment="1">
      <alignment horizontal="center"/>
    </xf>
    <xf numFmtId="0" fontId="19" fillId="25" borderId="33" xfId="0" applyFont="1" applyFill="1" applyBorder="1"/>
    <xf numFmtId="0" fontId="23" fillId="27" borderId="0" xfId="0" applyFont="1" applyFill="1" applyBorder="1" applyAlignment="1" applyProtection="1"/>
    <xf numFmtId="0" fontId="25" fillId="25" borderId="35" xfId="0" applyFont="1" applyFill="1" applyBorder="1" applyAlignment="1" applyProtection="1">
      <alignment horizontal="center"/>
    </xf>
    <xf numFmtId="3" fontId="24" fillId="25" borderId="16" xfId="0" applyNumberFormat="1" applyFont="1" applyFill="1" applyBorder="1" applyAlignment="1" applyProtection="1">
      <alignment horizontal="center" vertical="center"/>
    </xf>
    <xf numFmtId="3" fontId="24" fillId="25" borderId="29" xfId="0" applyNumberFormat="1" applyFont="1" applyFill="1" applyBorder="1" applyAlignment="1" applyProtection="1">
      <alignment horizontal="center" vertical="center"/>
    </xf>
    <xf numFmtId="3" fontId="23" fillId="25" borderId="29" xfId="0" applyNumberFormat="1" applyFont="1" applyFill="1" applyBorder="1" applyAlignment="1" applyProtection="1">
      <alignment horizontal="center" vertical="center"/>
    </xf>
    <xf numFmtId="3" fontId="19" fillId="25" borderId="32" xfId="0" applyNumberFormat="1" applyFont="1" applyFill="1" applyBorder="1" applyAlignment="1">
      <alignment horizontal="center" vertical="center"/>
    </xf>
    <xf numFmtId="3" fontId="19" fillId="25" borderId="29" xfId="0" applyNumberFormat="1" applyFont="1" applyFill="1" applyBorder="1" applyAlignment="1">
      <alignment horizontal="center"/>
    </xf>
    <xf numFmtId="3" fontId="19" fillId="25" borderId="36" xfId="0" applyNumberFormat="1" applyFont="1" applyFill="1" applyBorder="1" applyAlignment="1">
      <alignment horizontal="center"/>
    </xf>
    <xf numFmtId="3" fontId="19" fillId="25" borderId="15" xfId="0" applyNumberFormat="1" applyFont="1" applyFill="1" applyBorder="1" applyAlignment="1">
      <alignment horizontal="center" wrapText="1"/>
    </xf>
    <xf numFmtId="0" fontId="19" fillId="25" borderId="34" xfId="0" applyFont="1" applyFill="1" applyBorder="1" applyAlignment="1">
      <alignment horizontal="center"/>
    </xf>
    <xf numFmtId="3" fontId="23" fillId="0" borderId="0" xfId="0" applyNumberFormat="1" applyFont="1" applyFill="1" applyBorder="1" applyAlignment="1"/>
    <xf numFmtId="3" fontId="23" fillId="27" borderId="15" xfId="0" applyNumberFormat="1" applyFont="1" applyFill="1" applyBorder="1" applyAlignment="1" applyProtection="1">
      <alignment horizontal="center"/>
    </xf>
    <xf numFmtId="0" fontId="24" fillId="28" borderId="0" xfId="0" applyFont="1" applyFill="1" applyAlignment="1" applyProtection="1">
      <alignment horizontal="left"/>
    </xf>
    <xf numFmtId="3" fontId="31" fillId="25" borderId="20" xfId="0" applyNumberFormat="1" applyFont="1" applyFill="1" applyBorder="1" applyAlignment="1" applyProtection="1">
      <alignment horizontal="center"/>
    </xf>
    <xf numFmtId="0" fontId="20" fillId="25" borderId="31" xfId="0" applyFont="1" applyFill="1" applyBorder="1" applyAlignment="1">
      <alignment horizontal="center" vertical="center" wrapText="1"/>
    </xf>
    <xf numFmtId="0" fontId="20" fillId="25" borderId="10" xfId="0" applyFont="1" applyFill="1" applyBorder="1" applyAlignment="1">
      <alignment horizontal="center" vertical="center" wrapText="1"/>
    </xf>
    <xf numFmtId="0" fontId="20" fillId="25" borderId="24" xfId="0" applyFont="1" applyFill="1" applyBorder="1" applyAlignment="1">
      <alignment horizontal="center" vertical="center"/>
    </xf>
    <xf numFmtId="0" fontId="20" fillId="24" borderId="0" xfId="0" applyFont="1" applyFill="1" applyBorder="1" applyAlignment="1">
      <alignment horizontal="center" vertical="center"/>
    </xf>
    <xf numFmtId="0" fontId="20" fillId="24" borderId="0" xfId="0" applyFont="1" applyFill="1" applyBorder="1" applyAlignment="1" applyProtection="1">
      <alignment horizontal="center" vertical="center"/>
    </xf>
    <xf numFmtId="0" fontId="20" fillId="25" borderId="23" xfId="0" applyFont="1" applyFill="1" applyBorder="1" applyAlignment="1" applyProtection="1">
      <alignment horizontal="center" vertical="center"/>
    </xf>
    <xf numFmtId="0" fontId="20" fillId="25" borderId="14" xfId="0" applyFont="1" applyFill="1" applyBorder="1" applyAlignment="1">
      <alignment horizontal="center" vertical="center"/>
    </xf>
    <xf numFmtId="0" fontId="20" fillId="25" borderId="12" xfId="0" applyFont="1" applyFill="1" applyBorder="1" applyAlignment="1">
      <alignment horizontal="center" vertical="center"/>
    </xf>
    <xf numFmtId="0" fontId="20" fillId="25" borderId="11" xfId="0" applyFont="1" applyFill="1" applyBorder="1" applyAlignment="1">
      <alignment horizontal="center" vertical="center"/>
    </xf>
    <xf numFmtId="0" fontId="20" fillId="25" borderId="36" xfId="0" applyFont="1" applyFill="1" applyBorder="1" applyAlignment="1">
      <alignment horizontal="center" vertical="center"/>
    </xf>
    <xf numFmtId="0" fontId="20" fillId="25" borderId="24" xfId="0" applyFont="1" applyFill="1" applyBorder="1" applyAlignment="1" applyProtection="1">
      <alignment horizontal="center" vertical="center"/>
    </xf>
    <xf numFmtId="3" fontId="20" fillId="25" borderId="24" xfId="0" applyNumberFormat="1" applyFont="1" applyFill="1" applyBorder="1" applyAlignment="1" applyProtection="1">
      <alignment horizontal="center" vertical="center"/>
    </xf>
    <xf numFmtId="0" fontId="20" fillId="24" borderId="0" xfId="0" applyNumberFormat="1" applyFont="1" applyFill="1" applyBorder="1" applyAlignment="1" applyProtection="1">
      <alignment horizontal="center" vertical="center"/>
    </xf>
    <xf numFmtId="166" fontId="20" fillId="24" borderId="0" xfId="0" applyNumberFormat="1" applyFont="1" applyFill="1" applyBorder="1" applyAlignment="1" applyProtection="1">
      <alignment horizontal="center" vertical="center"/>
    </xf>
    <xf numFmtId="0" fontId="24" fillId="24" borderId="0" xfId="0" applyFont="1" applyFill="1" applyBorder="1" applyAlignment="1" applyProtection="1">
      <alignment horizontal="center"/>
    </xf>
    <xf numFmtId="0" fontId="24" fillId="25" borderId="24" xfId="0" applyFont="1" applyFill="1" applyBorder="1" applyAlignment="1" applyProtection="1">
      <alignment horizontal="center"/>
    </xf>
    <xf numFmtId="0" fontId="24" fillId="25" borderId="23" xfId="0" applyFont="1" applyFill="1" applyBorder="1" applyAlignment="1" applyProtection="1">
      <alignment horizontal="center"/>
    </xf>
    <xf numFmtId="0" fontId="24" fillId="25" borderId="10" xfId="0" applyFont="1" applyFill="1" applyBorder="1" applyAlignment="1" applyProtection="1">
      <alignment horizontal="center"/>
    </xf>
    <xf numFmtId="0" fontId="23" fillId="0" borderId="22" xfId="0" applyFont="1" applyFill="1" applyBorder="1" applyAlignment="1" applyProtection="1">
      <alignment horizontal="left"/>
    </xf>
    <xf numFmtId="0" fontId="24" fillId="25" borderId="23" xfId="0" applyFont="1" applyFill="1" applyBorder="1" applyAlignment="1">
      <alignment horizontal="center"/>
    </xf>
    <xf numFmtId="49" fontId="24" fillId="24" borderId="0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>
      <alignment horizontal="center"/>
    </xf>
    <xf numFmtId="0" fontId="32" fillId="0" borderId="0" xfId="0" applyFont="1"/>
    <xf numFmtId="0" fontId="32" fillId="0" borderId="0" xfId="0" applyFont="1" applyAlignment="1">
      <alignment vertical="center" wrapText="1"/>
    </xf>
    <xf numFmtId="0" fontId="32" fillId="0" borderId="0" xfId="0" applyFont="1" applyAlignment="1">
      <alignment horizontal="center"/>
    </xf>
    <xf numFmtId="0" fontId="20" fillId="30" borderId="0" xfId="0" applyFont="1" applyFill="1" applyAlignment="1">
      <alignment horizontal="center"/>
    </xf>
    <xf numFmtId="0" fontId="33" fillId="29" borderId="0" xfId="0" applyFont="1" applyFill="1" applyAlignment="1">
      <alignment horizontal="center"/>
    </xf>
    <xf numFmtId="0" fontId="34" fillId="29" borderId="0" xfId="0" applyFont="1" applyFill="1" applyAlignment="1">
      <alignment horizontal="center"/>
    </xf>
  </cellXfs>
  <cellStyles count="9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uena" xfId="44" builtinId="26" customBuiltin="1"/>
    <cellStyle name="Calculation" xfId="45"/>
    <cellStyle name="Cálculo" xfId="46" builtinId="22" customBuiltin="1"/>
    <cellStyle name="Campo de la tabla dinámica" xfId="47"/>
    <cellStyle name="Categoría de la tabla dinámica" xfId="48"/>
    <cellStyle name="Categoría del Piloto de Datos" xfId="49"/>
    <cellStyle name="Celda de comprobación" xfId="50" builtinId="23" customBuiltin="1"/>
    <cellStyle name="Celda vinculada" xfId="51" builtinId="24" customBuiltin="1"/>
    <cellStyle name="Check Cell" xfId="52"/>
    <cellStyle name="Encabezado 4" xfId="53" builtinId="19" customBuiltin="1"/>
    <cellStyle name="Énfasis1" xfId="54" builtinId="29" customBuiltin="1"/>
    <cellStyle name="Énfasis2" xfId="55" builtinId="33" customBuiltin="1"/>
    <cellStyle name="Énfasis3" xfId="56" builtinId="37" customBuiltin="1"/>
    <cellStyle name="Énfasis4" xfId="57" builtinId="41" customBuiltin="1"/>
    <cellStyle name="Énfasis5" xfId="58" builtinId="45" customBuiltin="1"/>
    <cellStyle name="Énfasis6" xfId="59" builtinId="49" customBuiltin="1"/>
    <cellStyle name="Entrada" xfId="60" builtinId="20" customBuiltin="1"/>
    <cellStyle name="Esquina de la tabla dinámica" xfId="61"/>
    <cellStyle name="Euro" xfId="62"/>
    <cellStyle name="Explanatory Text" xfId="63"/>
    <cellStyle name="Good" xfId="64"/>
    <cellStyle name="Heading 1" xfId="65"/>
    <cellStyle name="Heading 2" xfId="66"/>
    <cellStyle name="Heading 3" xfId="67"/>
    <cellStyle name="Heading 4" xfId="68"/>
    <cellStyle name="Incorrecto" xfId="69" builtinId="27" customBuiltin="1"/>
    <cellStyle name="Input" xfId="70"/>
    <cellStyle name="Linked Cell" xfId="71"/>
    <cellStyle name="Neutral" xfId="72" builtinId="28" customBuiltin="1"/>
    <cellStyle name="Normal" xfId="0" builtinId="0"/>
    <cellStyle name="Normal 2" xfId="73"/>
    <cellStyle name="Normal 3" xfId="74"/>
    <cellStyle name="Notas" xfId="75" builtinId="10" customBuiltin="1"/>
    <cellStyle name="Note" xfId="76"/>
    <cellStyle name="Output" xfId="77"/>
    <cellStyle name="Piloto de Datos Ángulo" xfId="78"/>
    <cellStyle name="Piloto de Datos Campo" xfId="79"/>
    <cellStyle name="Piloto de Datos Resultado" xfId="80"/>
    <cellStyle name="Piloto de Datos Título" xfId="81"/>
    <cellStyle name="Piloto de Datos Valor" xfId="82"/>
    <cellStyle name="Resultado de la tabla dinámica" xfId="83"/>
    <cellStyle name="Salida" xfId="84" builtinId="21" customBuiltin="1"/>
    <cellStyle name="Texto de advertencia" xfId="85" builtinId="11" customBuiltin="1"/>
    <cellStyle name="Texto explicativo" xfId="86" builtinId="53" customBuiltin="1"/>
    <cellStyle name="Title" xfId="87"/>
    <cellStyle name="Título" xfId="88" builtinId="15" customBuiltin="1"/>
    <cellStyle name="Título 1" xfId="89"/>
    <cellStyle name="Título 2" xfId="90" builtinId="17" customBuiltin="1"/>
    <cellStyle name="Título 3" xfId="91" builtinId="18" customBuiltin="1"/>
    <cellStyle name="Título de la tabla dinámica" xfId="92"/>
    <cellStyle name="Total" xfId="93" builtinId="25" customBuiltin="1"/>
    <cellStyle name="Valor de la tabla dinámica" xfId="94"/>
    <cellStyle name="Warning Text" xfId="9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23B8DC"/>
      <rgbColor rgb="00CFE7F5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6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btcsfc1\producci&#243;n\Erika\2007\Datos%20anuales%202007\Definitiva%20IV%20trim%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btcsfc1\producci&#243;n\AREA%20PENAL\JUZGADOS%20PENALES%20JUVENILES\2008\Juzgados%20PJ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odrigueza\Desktop\PRODUCCI&#211;N\PRODUCCI&#211;N\CUADROS%20PENAL\JUZGADOS%20PENALES%20JUVENILES\Juzgados%20PJ%20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ariasv\AppData\Local\Microsoft\Windows\Temporary%20Internet%20Files\OLKA1C3\Cuadros%20Definitivos%202012\09%20-%20Juzgados%20Penales%20Juvenil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btcsfc1\producci&#243;n\Marlen\JUZGADOS%20PJ\2007\Juzgados%20PJ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duccion-copiar\bases\Entrada%20x%20delito%20Jdos%20Penales%20Juveniles%202012-%20Kare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ariasv\AppData\Local\Microsoft\Windows\Temporary%20Internet%20Files\OLKA1C3\Cuadros%20Generales%20201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enac\AppData\Local\Microsoft\Windows\Temporary%20Internet%20Files\Content.Outlook\9R8UP31D\DESPACHOS%20DE%20PRIMERA%20INSTANCIA%202016%20(Archivo%20de%20Digitaci&#243;n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rib c-81"/>
      <sheetName val="c_82"/>
      <sheetName val="c_83"/>
      <sheetName val="c_84"/>
      <sheetName val="c_85"/>
      <sheetName val="c_86"/>
      <sheetName val="c_87"/>
      <sheetName val="c_88"/>
      <sheetName val="c_89"/>
      <sheetName val="c_90"/>
      <sheetName val="c_91"/>
      <sheetName val="c_92"/>
      <sheetName val="c_93"/>
      <sheetName val="c-94"/>
      <sheetName val="Jdos Penales c-1"/>
      <sheetName val="c_2"/>
      <sheetName val="c_3"/>
      <sheetName val="c_4"/>
      <sheetName val="c_5"/>
      <sheetName val="c_6"/>
      <sheetName val="c_7"/>
      <sheetName val="c-8"/>
      <sheetName val="Fisc"/>
      <sheetName val="c_2 (2)"/>
      <sheetName val="c_3 (2)"/>
      <sheetName val="c_4 (2)"/>
      <sheetName val="jdos PJ c-1"/>
      <sheetName val="C2"/>
      <sheetName val="C3"/>
      <sheetName val="fisc PJ"/>
      <sheetName val="C_2 (3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1"/>
      <sheetName val="C2"/>
      <sheetName val="C3"/>
      <sheetName val="C4"/>
      <sheetName val="c_5"/>
      <sheetName val="c_7"/>
      <sheetName val="C_6"/>
      <sheetName val="Notificaciones y Comisiones"/>
      <sheetName val="doc inform"/>
      <sheetName val="Hoja1"/>
      <sheetName val="c5-a"/>
      <sheetName val="Notificaciones_y_Comisiones"/>
      <sheetName val="doc_inform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1"/>
      <sheetName val="C2"/>
      <sheetName val="C3"/>
      <sheetName val="c4"/>
      <sheetName val="C5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1"/>
      <sheetName val="C2"/>
      <sheetName val="C3"/>
      <sheetName val="c4"/>
      <sheetName val="C5"/>
      <sheetName val="C6"/>
      <sheetName val="C7"/>
      <sheetName val="c8"/>
      <sheetName val="c9"/>
      <sheetName val="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1"/>
      <sheetName val="C2"/>
      <sheetName val="C3"/>
      <sheetName val="C4"/>
      <sheetName val="c_5"/>
      <sheetName val="c_7"/>
      <sheetName val="C_6"/>
      <sheetName val="Notificaciones y Comisiones"/>
      <sheetName val="doc 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I TR "/>
      <sheetName val="II TR"/>
      <sheetName val="III TR"/>
      <sheetName val="IV TR"/>
      <sheetName val="C6-anual"/>
      <sheetName val="menores sentenciados"/>
      <sheetName val="C-5"/>
      <sheetName val="c-8"/>
      <sheetName val="c9"/>
      <sheetName val="c-10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-1"/>
      <sheetName val="c-2"/>
      <sheetName val="c-3"/>
      <sheetName val="c-4"/>
      <sheetName val="c-5"/>
      <sheetName val="c-6"/>
      <sheetName val="c-7"/>
      <sheetName val="c-8"/>
      <sheetName val="c-9"/>
      <sheetName val="c-10"/>
      <sheetName val="c-11"/>
      <sheetName val="c-12"/>
      <sheetName val="c-13"/>
      <sheetName val="c-14"/>
      <sheetName val="c-15"/>
      <sheetName val="c-16"/>
      <sheetName val="c-17"/>
      <sheetName val="c-18"/>
      <sheetName val="c-19"/>
      <sheetName val="c-20"/>
      <sheetName val="c-21"/>
      <sheetName val="c-22"/>
      <sheetName val="c-2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-1"/>
      <sheetName val="c-2"/>
      <sheetName val="c-3"/>
      <sheetName val="c-4"/>
      <sheetName val="c-5"/>
      <sheetName val="c-6"/>
      <sheetName val="c-7"/>
      <sheetName val="c-8"/>
      <sheetName val="c-9"/>
      <sheetName val="c-10"/>
      <sheetName val="c-11"/>
      <sheetName val="c-12"/>
      <sheetName val="c-13"/>
      <sheetName val="c-14"/>
      <sheetName val="c-15"/>
      <sheetName val="c-16"/>
      <sheetName val="c-17"/>
      <sheetName val="c-18"/>
      <sheetName val="c-19"/>
      <sheetName val="c-20"/>
      <sheetName val="c-21"/>
      <sheetName val="c-22"/>
      <sheetName val="c-23"/>
      <sheetName val="c-24"/>
      <sheetName val="c-25"/>
      <sheetName val="c-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9">
          <cell r="O9">
            <v>1114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1"/>
  <sheetViews>
    <sheetView tabSelected="1" workbookViewId="0">
      <selection activeCell="B7" sqref="B7"/>
    </sheetView>
  </sheetViews>
  <sheetFormatPr baseColWidth="10" defaultRowHeight="13.2"/>
  <cols>
    <col min="1" max="1" width="16.44140625" style="464" customWidth="1"/>
    <col min="2" max="2" width="105.5546875" style="465" customWidth="1"/>
    <col min="3" max="16384" width="11.5546875" style="465"/>
  </cols>
  <sheetData>
    <row r="1" spans="1:18" ht="22.8" customHeight="1">
      <c r="A1" s="469"/>
      <c r="B1" s="470" t="s">
        <v>1085</v>
      </c>
      <c r="C1" s="464"/>
      <c r="D1" s="464"/>
      <c r="E1" s="464"/>
      <c r="F1" s="464"/>
      <c r="G1" s="464"/>
    </row>
    <row r="2" spans="1:18" ht="18">
      <c r="A2" s="469"/>
      <c r="B2" s="470" t="s">
        <v>1103</v>
      </c>
      <c r="C2" s="464"/>
      <c r="D2" s="464"/>
      <c r="E2" s="464"/>
      <c r="F2" s="464"/>
      <c r="G2" s="464"/>
    </row>
    <row r="3" spans="1:18">
      <c r="B3" s="464"/>
      <c r="C3" s="464"/>
      <c r="D3" s="464"/>
      <c r="E3" s="464"/>
      <c r="F3" s="464"/>
      <c r="G3" s="464"/>
    </row>
    <row r="4" spans="1:18" ht="25.2" customHeight="1">
      <c r="A4" s="468" t="s">
        <v>1083</v>
      </c>
      <c r="B4" s="468" t="s">
        <v>1084</v>
      </c>
    </row>
    <row r="5" spans="1:18" ht="33" customHeight="1">
      <c r="A5" s="464">
        <v>1</v>
      </c>
      <c r="B5" s="466" t="s">
        <v>1086</v>
      </c>
      <c r="C5" s="466"/>
      <c r="D5" s="466"/>
      <c r="E5" s="466"/>
      <c r="F5" s="466"/>
      <c r="G5" s="466"/>
      <c r="H5" s="467"/>
      <c r="I5" s="467"/>
      <c r="J5" s="467"/>
      <c r="K5" s="467"/>
      <c r="L5" s="467"/>
      <c r="M5" s="467"/>
      <c r="N5" s="467"/>
      <c r="O5" s="467"/>
      <c r="P5" s="467"/>
      <c r="Q5" s="467"/>
      <c r="R5" s="467"/>
    </row>
    <row r="6" spans="1:18" ht="33" customHeight="1">
      <c r="A6" s="464">
        <v>2</v>
      </c>
      <c r="B6" s="466" t="s">
        <v>1087</v>
      </c>
      <c r="C6" s="466"/>
      <c r="D6" s="466"/>
      <c r="E6" s="466"/>
      <c r="F6" s="466"/>
      <c r="G6" s="466"/>
      <c r="H6" s="466"/>
      <c r="I6" s="466"/>
      <c r="J6" s="466"/>
      <c r="K6" s="466"/>
      <c r="L6" s="466"/>
      <c r="M6" s="466"/>
      <c r="N6" s="466"/>
      <c r="O6" s="466"/>
      <c r="P6" s="466"/>
      <c r="Q6" s="466"/>
      <c r="R6" s="466"/>
    </row>
    <row r="7" spans="1:18" ht="33" customHeight="1">
      <c r="A7" s="464">
        <v>3</v>
      </c>
      <c r="B7" s="466" t="s">
        <v>1063</v>
      </c>
      <c r="C7" s="466"/>
      <c r="D7" s="466"/>
      <c r="E7" s="466"/>
      <c r="F7" s="466"/>
      <c r="G7" s="466"/>
      <c r="H7" s="466"/>
      <c r="I7" s="466"/>
      <c r="J7" s="466"/>
      <c r="K7" s="466"/>
      <c r="L7" s="466"/>
      <c r="M7" s="466"/>
      <c r="N7" s="466"/>
      <c r="O7" s="466"/>
      <c r="P7" s="466"/>
      <c r="Q7" s="466"/>
      <c r="R7" s="466"/>
    </row>
    <row r="8" spans="1:18" ht="33" customHeight="1">
      <c r="A8" s="464">
        <v>4</v>
      </c>
      <c r="B8" s="466" t="s">
        <v>1088</v>
      </c>
      <c r="C8" s="466"/>
      <c r="D8" s="466"/>
      <c r="E8" s="466"/>
      <c r="F8" s="466"/>
      <c r="G8" s="466"/>
    </row>
    <row r="9" spans="1:18" ht="33" customHeight="1">
      <c r="A9" s="464">
        <v>5</v>
      </c>
      <c r="B9" s="466" t="s">
        <v>1089</v>
      </c>
      <c r="C9" s="466"/>
      <c r="D9" s="466"/>
      <c r="E9" s="466"/>
      <c r="F9" s="466"/>
      <c r="G9" s="466"/>
    </row>
    <row r="10" spans="1:18" ht="33" customHeight="1">
      <c r="A10" s="464">
        <v>6</v>
      </c>
      <c r="B10" s="466" t="s">
        <v>1090</v>
      </c>
      <c r="C10" s="466"/>
      <c r="D10" s="466"/>
      <c r="E10" s="466"/>
      <c r="F10" s="466"/>
      <c r="G10" s="466"/>
    </row>
    <row r="11" spans="1:18" ht="33" customHeight="1">
      <c r="A11" s="464">
        <v>7</v>
      </c>
      <c r="B11" s="466" t="s">
        <v>1104</v>
      </c>
      <c r="C11" s="466"/>
      <c r="D11" s="466"/>
      <c r="E11" s="466"/>
      <c r="F11" s="466"/>
      <c r="G11" s="466"/>
      <c r="H11" s="466"/>
      <c r="I11" s="466"/>
      <c r="J11" s="466"/>
      <c r="K11" s="466"/>
      <c r="L11" s="466"/>
      <c r="M11" s="466"/>
      <c r="N11" s="466"/>
      <c r="O11" s="466"/>
      <c r="P11" s="466"/>
      <c r="Q11" s="466"/>
    </row>
    <row r="12" spans="1:18" ht="33" customHeight="1">
      <c r="A12" s="464">
        <v>8</v>
      </c>
      <c r="B12" s="466" t="s">
        <v>1105</v>
      </c>
      <c r="C12" s="466"/>
      <c r="D12" s="466"/>
      <c r="E12" s="466"/>
      <c r="F12" s="466"/>
      <c r="G12" s="466"/>
      <c r="H12" s="466"/>
      <c r="I12" s="466"/>
      <c r="J12" s="466"/>
      <c r="K12" s="466"/>
      <c r="L12" s="466"/>
      <c r="M12" s="466"/>
      <c r="N12" s="466"/>
      <c r="O12" s="466"/>
      <c r="P12" s="466"/>
      <c r="Q12" s="466"/>
    </row>
    <row r="13" spans="1:18" ht="33" customHeight="1">
      <c r="A13" s="464">
        <v>9</v>
      </c>
      <c r="B13" s="466" t="s">
        <v>1106</v>
      </c>
      <c r="C13" s="466"/>
      <c r="D13" s="466"/>
      <c r="E13" s="466"/>
      <c r="F13" s="466"/>
      <c r="G13" s="466"/>
      <c r="H13" s="466"/>
      <c r="I13" s="466"/>
      <c r="J13" s="466"/>
      <c r="K13" s="466"/>
      <c r="L13" s="466"/>
      <c r="M13" s="466"/>
      <c r="N13" s="466"/>
      <c r="O13" s="466"/>
      <c r="P13" s="466"/>
      <c r="Q13" s="466"/>
    </row>
    <row r="14" spans="1:18" ht="33" customHeight="1">
      <c r="A14" s="464">
        <v>10</v>
      </c>
      <c r="B14" s="466" t="s">
        <v>1091</v>
      </c>
      <c r="C14" s="466"/>
      <c r="D14" s="466"/>
      <c r="E14" s="466"/>
      <c r="F14" s="466"/>
      <c r="G14" s="466"/>
      <c r="H14" s="466"/>
      <c r="I14" s="466"/>
      <c r="J14" s="466"/>
      <c r="K14" s="466"/>
      <c r="L14" s="466"/>
      <c r="M14" s="466"/>
    </row>
    <row r="15" spans="1:18" ht="33" customHeight="1">
      <c r="A15" s="464">
        <v>11</v>
      </c>
      <c r="B15" s="466" t="s">
        <v>1092</v>
      </c>
      <c r="C15" s="466"/>
      <c r="D15" s="466"/>
      <c r="E15" s="466"/>
      <c r="F15" s="466"/>
      <c r="G15" s="466"/>
      <c r="H15" s="466"/>
      <c r="I15" s="466"/>
      <c r="J15" s="466"/>
      <c r="K15" s="466"/>
      <c r="L15" s="466"/>
      <c r="M15" s="466"/>
    </row>
    <row r="16" spans="1:18" ht="33" customHeight="1">
      <c r="A16" s="464">
        <v>12</v>
      </c>
      <c r="B16" s="466" t="s">
        <v>1093</v>
      </c>
      <c r="C16" s="466"/>
      <c r="D16" s="466"/>
      <c r="E16" s="466"/>
      <c r="F16" s="466"/>
      <c r="G16" s="466"/>
      <c r="H16" s="466"/>
      <c r="I16" s="466"/>
      <c r="J16" s="466"/>
      <c r="K16" s="466"/>
      <c r="L16" s="466"/>
      <c r="M16" s="466"/>
      <c r="N16" s="466"/>
    </row>
    <row r="17" spans="1:14" ht="33" customHeight="1">
      <c r="A17" s="464">
        <v>13</v>
      </c>
      <c r="B17" s="466" t="s">
        <v>1094</v>
      </c>
      <c r="C17" s="466"/>
      <c r="D17" s="466"/>
      <c r="E17" s="466"/>
      <c r="F17" s="466"/>
      <c r="G17" s="466"/>
      <c r="H17" s="466"/>
      <c r="I17" s="466"/>
      <c r="J17" s="466"/>
      <c r="K17" s="466"/>
      <c r="L17" s="466"/>
      <c r="M17" s="466"/>
      <c r="N17" s="466"/>
    </row>
    <row r="18" spans="1:14" ht="33" customHeight="1">
      <c r="A18" s="464">
        <v>14</v>
      </c>
      <c r="B18" s="466" t="s">
        <v>1095</v>
      </c>
      <c r="C18" s="466"/>
      <c r="D18" s="466"/>
      <c r="E18" s="466"/>
      <c r="F18" s="466"/>
      <c r="G18" s="466"/>
      <c r="H18" s="466"/>
      <c r="I18" s="466"/>
      <c r="J18" s="466"/>
      <c r="K18" s="466"/>
      <c r="L18" s="466"/>
      <c r="M18" s="466"/>
      <c r="N18" s="466"/>
    </row>
    <row r="19" spans="1:14" ht="33" customHeight="1">
      <c r="A19" s="464">
        <v>15</v>
      </c>
      <c r="B19" s="466" t="s">
        <v>1096</v>
      </c>
      <c r="C19" s="466"/>
      <c r="D19" s="466"/>
      <c r="E19" s="466"/>
      <c r="F19" s="466"/>
      <c r="G19" s="466"/>
      <c r="H19" s="466"/>
      <c r="I19" s="466"/>
      <c r="J19" s="466"/>
      <c r="K19" s="466"/>
      <c r="L19" s="466"/>
      <c r="M19" s="466"/>
      <c r="N19" s="466"/>
    </row>
    <row r="20" spans="1:14" ht="33" customHeight="1">
      <c r="A20" s="464">
        <v>16</v>
      </c>
      <c r="B20" s="466" t="s">
        <v>1097</v>
      </c>
      <c r="C20" s="466"/>
      <c r="D20" s="466"/>
      <c r="E20" s="466"/>
      <c r="F20" s="466"/>
      <c r="G20" s="466"/>
      <c r="H20" s="466"/>
      <c r="I20" s="466"/>
      <c r="J20" s="466"/>
      <c r="K20" s="466"/>
      <c r="L20" s="466"/>
    </row>
    <row r="21" spans="1:14" ht="33" customHeight="1">
      <c r="A21" s="464">
        <v>17</v>
      </c>
      <c r="B21" s="466" t="s">
        <v>1098</v>
      </c>
      <c r="C21" s="466"/>
      <c r="D21" s="466"/>
      <c r="E21" s="466"/>
      <c r="F21" s="466"/>
      <c r="G21" s="466"/>
      <c r="H21" s="466"/>
      <c r="I21" s="466"/>
      <c r="J21" s="466"/>
      <c r="K21" s="466"/>
      <c r="L21" s="466"/>
    </row>
    <row r="22" spans="1:14" ht="33" customHeight="1">
      <c r="A22" s="464">
        <v>18</v>
      </c>
      <c r="B22" s="466" t="s">
        <v>1099</v>
      </c>
      <c r="C22" s="466"/>
      <c r="D22" s="466"/>
      <c r="E22" s="466"/>
      <c r="F22" s="466"/>
      <c r="G22" s="466"/>
      <c r="H22" s="466"/>
      <c r="I22" s="466"/>
      <c r="J22" s="466"/>
      <c r="K22" s="466"/>
      <c r="L22" s="466"/>
    </row>
    <row r="23" spans="1:14" ht="33" customHeight="1">
      <c r="A23" s="464">
        <v>19</v>
      </c>
      <c r="B23" s="466" t="s">
        <v>1101</v>
      </c>
      <c r="C23" s="466"/>
      <c r="D23" s="466"/>
      <c r="E23" s="466"/>
      <c r="F23" s="466"/>
      <c r="G23" s="466"/>
      <c r="H23" s="466"/>
      <c r="I23" s="466"/>
      <c r="J23" s="466"/>
      <c r="K23" s="466"/>
      <c r="L23" s="466"/>
    </row>
    <row r="24" spans="1:14" ht="33" customHeight="1">
      <c r="A24" s="464">
        <v>20</v>
      </c>
      <c r="B24" s="466" t="s">
        <v>1102</v>
      </c>
      <c r="C24" s="466"/>
      <c r="D24" s="466"/>
      <c r="E24" s="466"/>
      <c r="F24" s="466"/>
      <c r="G24" s="466"/>
      <c r="H24" s="466"/>
      <c r="I24" s="466"/>
      <c r="J24" s="466"/>
      <c r="K24" s="466"/>
      <c r="L24" s="466"/>
    </row>
    <row r="25" spans="1:14" ht="33" customHeight="1">
      <c r="A25" s="464">
        <v>21</v>
      </c>
      <c r="B25" s="466" t="s">
        <v>1100</v>
      </c>
      <c r="C25" s="466"/>
      <c r="D25" s="466"/>
      <c r="E25" s="466"/>
      <c r="F25" s="466"/>
      <c r="G25" s="466"/>
      <c r="H25" s="466"/>
      <c r="I25" s="466"/>
      <c r="J25" s="466"/>
      <c r="K25" s="466"/>
      <c r="L25" s="466"/>
    </row>
    <row r="26" spans="1:14" ht="33" customHeight="1">
      <c r="A26" s="464">
        <v>22</v>
      </c>
      <c r="B26" s="466" t="s">
        <v>1107</v>
      </c>
      <c r="C26" s="466"/>
      <c r="D26" s="466"/>
      <c r="E26" s="466"/>
      <c r="F26" s="466"/>
      <c r="G26" s="466"/>
      <c r="H26" s="466"/>
      <c r="I26" s="466"/>
      <c r="J26" s="466"/>
      <c r="K26" s="466"/>
      <c r="L26" s="466"/>
    </row>
    <row r="27" spans="1:14" ht="33" customHeight="1">
      <c r="A27" s="464">
        <v>23</v>
      </c>
      <c r="B27" s="466" t="s">
        <v>1108</v>
      </c>
      <c r="C27" s="466"/>
      <c r="D27" s="466"/>
      <c r="E27" s="466"/>
      <c r="F27" s="466"/>
      <c r="G27" s="466"/>
      <c r="H27" s="466"/>
      <c r="I27" s="466"/>
      <c r="J27" s="466"/>
      <c r="K27" s="466"/>
      <c r="L27" s="466"/>
    </row>
    <row r="28" spans="1:14" ht="33" customHeight="1">
      <c r="A28" s="464">
        <v>24</v>
      </c>
      <c r="B28" s="466" t="s">
        <v>1109</v>
      </c>
      <c r="C28" s="466"/>
      <c r="D28" s="466"/>
      <c r="E28" s="466"/>
      <c r="F28" s="466"/>
      <c r="G28" s="466"/>
      <c r="H28" s="466"/>
      <c r="I28" s="466"/>
      <c r="J28" s="466"/>
      <c r="K28" s="466"/>
      <c r="L28" s="466"/>
    </row>
    <row r="29" spans="1:14" ht="33" customHeight="1">
      <c r="A29" s="464">
        <v>25</v>
      </c>
      <c r="B29" s="466" t="s">
        <v>1110</v>
      </c>
      <c r="C29" s="466"/>
    </row>
    <row r="30" spans="1:14" ht="33" customHeight="1">
      <c r="A30" s="464">
        <v>26</v>
      </c>
      <c r="B30" s="466" t="s">
        <v>1111</v>
      </c>
      <c r="C30" s="466"/>
    </row>
    <row r="31" spans="1:14">
      <c r="B31" s="466"/>
      <c r="C31" s="466"/>
    </row>
  </sheetData>
  <mergeCells count="2">
    <mergeCell ref="H5:M5"/>
    <mergeCell ref="N5:R5"/>
  </mergeCells>
  <pageMargins left="0.7" right="0.7" top="0.75" bottom="0.75" header="0.3" footer="0.3"/>
  <pageSetup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T484"/>
  <sheetViews>
    <sheetView workbookViewId="0">
      <selection activeCell="A3" sqref="A3:P3"/>
    </sheetView>
  </sheetViews>
  <sheetFormatPr baseColWidth="10" defaultColWidth="11.44140625" defaultRowHeight="15.75" customHeight="1"/>
  <cols>
    <col min="1" max="1" width="79.6640625" style="73" customWidth="1"/>
    <col min="2" max="2" width="14.88671875" style="4" bestFit="1" customWidth="1"/>
    <col min="3" max="3" width="13.6640625" style="4" customWidth="1"/>
    <col min="4" max="4" width="14.88671875" style="4" customWidth="1"/>
    <col min="5" max="6" width="13.6640625" style="4" customWidth="1"/>
    <col min="7" max="7" width="12.5546875" style="4" customWidth="1"/>
    <col min="8" max="8" width="13.6640625" style="4" customWidth="1"/>
    <col min="9" max="9" width="14.88671875" style="4" customWidth="1"/>
    <col min="10" max="11" width="13.6640625" style="4" customWidth="1"/>
    <col min="12" max="12" width="14.88671875" style="4" customWidth="1"/>
    <col min="13" max="13" width="13.6640625" style="4" bestFit="1" customWidth="1"/>
    <col min="14" max="14" width="13.6640625" style="41" customWidth="1"/>
    <col min="15" max="16" width="12.5546875" style="88" customWidth="1"/>
    <col min="17" max="16384" width="11.44140625" style="35"/>
  </cols>
  <sheetData>
    <row r="1" spans="1:20" s="39" customFormat="1" ht="15.75" customHeight="1">
      <c r="A1" s="145" t="s">
        <v>521</v>
      </c>
      <c r="B1" s="41"/>
      <c r="C1" s="41"/>
      <c r="D1" s="41"/>
      <c r="E1" s="41"/>
      <c r="F1" s="41"/>
      <c r="G1" s="41"/>
      <c r="H1" s="41"/>
      <c r="I1" s="41"/>
      <c r="J1" s="41"/>
      <c r="K1" s="41"/>
      <c r="M1" s="41"/>
      <c r="N1" s="41"/>
      <c r="O1" s="41"/>
      <c r="P1" s="41"/>
      <c r="R1" s="40"/>
    </row>
    <row r="2" spans="1:20" s="91" customFormat="1" ht="15.75" customHeight="1">
      <c r="A2" s="73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20" s="91" customFormat="1" ht="15.75" customHeight="1">
      <c r="A3" s="455" t="s">
        <v>1082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  <c r="P3" s="455"/>
    </row>
    <row r="4" spans="1:20" s="91" customFormat="1" ht="15.75" customHeight="1">
      <c r="A4" s="93"/>
      <c r="B4" s="14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7"/>
      <c r="P4" s="147"/>
    </row>
    <row r="5" spans="1:20" s="91" customFormat="1" ht="15.75" customHeight="1">
      <c r="A5" s="128"/>
      <c r="B5" s="96"/>
      <c r="C5" s="454" t="s">
        <v>222</v>
      </c>
      <c r="D5" s="454"/>
      <c r="E5" s="454"/>
      <c r="F5" s="454"/>
      <c r="G5" s="454"/>
      <c r="H5" s="454"/>
      <c r="I5" s="454"/>
      <c r="J5" s="454"/>
      <c r="K5" s="454"/>
      <c r="L5" s="454"/>
      <c r="M5" s="454"/>
      <c r="N5" s="454"/>
      <c r="O5" s="454"/>
      <c r="P5" s="454"/>
    </row>
    <row r="6" spans="1:20" s="91" customFormat="1" ht="15.75" customHeight="1">
      <c r="A6" s="58" t="s">
        <v>359</v>
      </c>
      <c r="B6" s="97" t="s">
        <v>221</v>
      </c>
      <c r="C6" s="97" t="s">
        <v>333</v>
      </c>
      <c r="D6" s="97" t="s">
        <v>360</v>
      </c>
      <c r="E6" s="97" t="s">
        <v>361</v>
      </c>
      <c r="F6" s="97" t="s">
        <v>228</v>
      </c>
      <c r="G6" s="97" t="s">
        <v>362</v>
      </c>
      <c r="H6" s="97" t="s">
        <v>231</v>
      </c>
      <c r="I6" s="97" t="s">
        <v>232</v>
      </c>
      <c r="J6" s="97" t="s">
        <v>363</v>
      </c>
      <c r="K6" s="97" t="s">
        <v>235</v>
      </c>
      <c r="L6" s="97" t="s">
        <v>364</v>
      </c>
      <c r="M6" s="97" t="s">
        <v>365</v>
      </c>
      <c r="N6" s="98" t="s">
        <v>366</v>
      </c>
      <c r="O6" s="63" t="s">
        <v>367</v>
      </c>
      <c r="P6" s="140" t="s">
        <v>368</v>
      </c>
    </row>
    <row r="7" spans="1:20" s="91" customFormat="1" ht="15.75" customHeight="1">
      <c r="A7" s="129"/>
      <c r="B7" s="101"/>
      <c r="C7" s="101"/>
      <c r="D7" s="101"/>
      <c r="E7" s="102" t="s">
        <v>369</v>
      </c>
      <c r="F7" s="102"/>
      <c r="G7" s="102"/>
      <c r="H7" s="101"/>
      <c r="I7" s="102"/>
      <c r="J7" s="102" t="s">
        <v>370</v>
      </c>
      <c r="K7" s="101"/>
      <c r="L7" s="102" t="s">
        <v>371</v>
      </c>
      <c r="M7" s="102" t="s">
        <v>372</v>
      </c>
      <c r="N7" s="103" t="s">
        <v>373</v>
      </c>
      <c r="O7" s="104" t="s">
        <v>370</v>
      </c>
      <c r="P7" s="130"/>
    </row>
    <row r="8" spans="1:20" s="91" customFormat="1" ht="15.75" customHeight="1">
      <c r="A8" s="106"/>
      <c r="B8" s="96"/>
      <c r="C8" s="108"/>
      <c r="D8" s="108"/>
      <c r="E8" s="110"/>
      <c r="F8" s="110"/>
      <c r="G8" s="110"/>
      <c r="H8" s="108"/>
      <c r="I8" s="110"/>
      <c r="J8" s="110"/>
      <c r="K8" s="108"/>
      <c r="L8" s="110"/>
      <c r="M8" s="442"/>
      <c r="N8" s="98"/>
      <c r="O8" s="19"/>
      <c r="P8" s="111"/>
    </row>
    <row r="9" spans="1:20" s="91" customFormat="1" ht="15.75" customHeight="1">
      <c r="A9" s="106" t="s">
        <v>221</v>
      </c>
      <c r="B9" s="107">
        <f>SUM(C9:P9)</f>
        <v>984871</v>
      </c>
      <c r="C9" s="97">
        <f>SUM(C59,C74,C205,C239,C324,C332,C404)</f>
        <v>57431</v>
      </c>
      <c r="D9" s="97">
        <f>SUM(D74+D87+D239+D324+D332+D404)</f>
        <v>453169</v>
      </c>
      <c r="E9" s="97">
        <f>SUM(E81)</f>
        <v>18232</v>
      </c>
      <c r="F9" s="97">
        <f>SUM(F91,F205,F227)</f>
        <v>19614</v>
      </c>
      <c r="G9" s="97">
        <f>SUM(G59,G121,G205)</f>
        <v>6746</v>
      </c>
      <c r="H9" s="97">
        <f>SUM(H141,H205,H257,H324,H332,H404)</f>
        <v>44356</v>
      </c>
      <c r="I9" s="97">
        <f>SUM(I15,I153,I410)</f>
        <v>105506</v>
      </c>
      <c r="J9" s="97">
        <f>SUM(J267,J332)</f>
        <v>21464</v>
      </c>
      <c r="K9" s="97">
        <f>SUM(K286,K332,K404,K267)</f>
        <v>30418</v>
      </c>
      <c r="L9" s="97">
        <f>SUM(L267,L303,L315,L332)</f>
        <v>170764</v>
      </c>
      <c r="M9" s="97">
        <f>SUM(M194,M205,M227,M410)</f>
        <v>9782</v>
      </c>
      <c r="N9" s="98">
        <f>SUM(N106,N205,N227,N315,N332)</f>
        <v>42548</v>
      </c>
      <c r="O9" s="112">
        <f>SUM(O13)</f>
        <v>1344</v>
      </c>
      <c r="P9" s="112">
        <f>SUM(P11)</f>
        <v>3497</v>
      </c>
      <c r="S9" s="35"/>
      <c r="T9" s="35"/>
    </row>
    <row r="10" spans="1:20" ht="15.75" customHeight="1">
      <c r="A10" s="113"/>
      <c r="B10" s="26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21"/>
      <c r="O10" s="19"/>
      <c r="P10" s="19"/>
    </row>
    <row r="11" spans="1:20" ht="15.75" customHeight="1">
      <c r="A11" s="113" t="s">
        <v>123</v>
      </c>
      <c r="B11" s="26">
        <f>SUM(C11:P11)</f>
        <v>3497</v>
      </c>
      <c r="C11" s="51" t="s">
        <v>374</v>
      </c>
      <c r="D11" s="51" t="s">
        <v>374</v>
      </c>
      <c r="E11" s="51" t="s">
        <v>374</v>
      </c>
      <c r="F11" s="51" t="s">
        <v>374</v>
      </c>
      <c r="G11" s="51" t="s">
        <v>374</v>
      </c>
      <c r="H11" s="51" t="s">
        <v>374</v>
      </c>
      <c r="I11" s="51" t="s">
        <v>374</v>
      </c>
      <c r="J11" s="51" t="s">
        <v>374</v>
      </c>
      <c r="K11" s="51" t="s">
        <v>374</v>
      </c>
      <c r="L11" s="51" t="s">
        <v>374</v>
      </c>
      <c r="M11" s="51" t="s">
        <v>374</v>
      </c>
      <c r="N11" s="21" t="s">
        <v>374</v>
      </c>
      <c r="O11" s="26" t="s">
        <v>374</v>
      </c>
      <c r="P11" s="65">
        <f>'c-26'!B14</f>
        <v>3497</v>
      </c>
    </row>
    <row r="12" spans="1:20" ht="15.75" customHeight="1">
      <c r="A12" s="113"/>
      <c r="B12" s="26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21"/>
      <c r="O12" s="19"/>
      <c r="P12" s="19"/>
    </row>
    <row r="13" spans="1:20" ht="15.75" customHeight="1">
      <c r="A13" s="113" t="s">
        <v>124</v>
      </c>
      <c r="B13" s="26">
        <f>SUM(C13:P13)</f>
        <v>1344</v>
      </c>
      <c r="C13" s="51" t="s">
        <v>374</v>
      </c>
      <c r="D13" s="51" t="s">
        <v>374</v>
      </c>
      <c r="E13" s="51" t="s">
        <v>374</v>
      </c>
      <c r="F13" s="51" t="s">
        <v>374</v>
      </c>
      <c r="G13" s="51" t="s">
        <v>374</v>
      </c>
      <c r="H13" s="51" t="s">
        <v>374</v>
      </c>
      <c r="I13" s="51" t="s">
        <v>374</v>
      </c>
      <c r="J13" s="51" t="s">
        <v>374</v>
      </c>
      <c r="K13" s="51" t="s">
        <v>374</v>
      </c>
      <c r="L13" s="51" t="s">
        <v>374</v>
      </c>
      <c r="M13" s="51" t="s">
        <v>374</v>
      </c>
      <c r="N13" s="21" t="s">
        <v>374</v>
      </c>
      <c r="O13" s="65">
        <f>'c-25'!B13</f>
        <v>1344</v>
      </c>
      <c r="P13" s="112" t="s">
        <v>374</v>
      </c>
    </row>
    <row r="14" spans="1:20" ht="15.75" customHeight="1">
      <c r="A14" s="113"/>
      <c r="B14" s="26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21"/>
      <c r="O14" s="19"/>
      <c r="P14" s="19"/>
    </row>
    <row r="15" spans="1:20" s="91" customFormat="1" ht="15.75" customHeight="1">
      <c r="A15" s="106" t="s">
        <v>375</v>
      </c>
      <c r="B15" s="62">
        <f>SUM(B17:B55)</f>
        <v>31785</v>
      </c>
      <c r="C15" s="97" t="s">
        <v>374</v>
      </c>
      <c r="D15" s="97" t="s">
        <v>374</v>
      </c>
      <c r="E15" s="97" t="s">
        <v>374</v>
      </c>
      <c r="F15" s="97" t="s">
        <v>374</v>
      </c>
      <c r="G15" s="97" t="s">
        <v>374</v>
      </c>
      <c r="H15" s="97" t="s">
        <v>374</v>
      </c>
      <c r="I15" s="62">
        <f>SUM(I17:I55)</f>
        <v>31785</v>
      </c>
      <c r="J15" s="97" t="s">
        <v>374</v>
      </c>
      <c r="K15" s="97" t="s">
        <v>374</v>
      </c>
      <c r="L15" s="97" t="s">
        <v>374</v>
      </c>
      <c r="M15" s="97" t="s">
        <v>374</v>
      </c>
      <c r="N15" s="98" t="s">
        <v>374</v>
      </c>
      <c r="O15" s="112" t="s">
        <v>374</v>
      </c>
      <c r="P15" s="112" t="s">
        <v>374</v>
      </c>
      <c r="S15" s="35"/>
      <c r="T15" s="35"/>
    </row>
    <row r="16" spans="1:20" s="91" customFormat="1" ht="15.75" customHeight="1">
      <c r="A16" s="106"/>
      <c r="B16" s="62"/>
      <c r="C16" s="114"/>
      <c r="D16" s="114"/>
      <c r="E16" s="114"/>
      <c r="F16" s="114"/>
      <c r="G16" s="114"/>
      <c r="H16" s="114"/>
      <c r="I16" s="62"/>
      <c r="J16" s="114"/>
      <c r="K16" s="114"/>
      <c r="L16" s="114"/>
      <c r="M16" s="114"/>
      <c r="N16" s="115"/>
      <c r="O16" s="65"/>
      <c r="P16" s="65"/>
      <c r="S16" s="35"/>
      <c r="T16" s="35"/>
    </row>
    <row r="17" spans="1:20" ht="15.75" customHeight="1">
      <c r="A17" s="116" t="s">
        <v>376</v>
      </c>
      <c r="B17" s="26">
        <f>SUM(C17:P17)</f>
        <v>1933</v>
      </c>
      <c r="C17" s="117" t="s">
        <v>374</v>
      </c>
      <c r="D17" s="117" t="s">
        <v>374</v>
      </c>
      <c r="E17" s="117" t="s">
        <v>374</v>
      </c>
      <c r="F17" s="117" t="s">
        <v>374</v>
      </c>
      <c r="G17" s="117" t="s">
        <v>374</v>
      </c>
      <c r="H17" s="117" t="s">
        <v>374</v>
      </c>
      <c r="I17" s="24">
        <f>'c-20'!G12</f>
        <v>1933</v>
      </c>
      <c r="J17" s="117" t="s">
        <v>374</v>
      </c>
      <c r="K17" s="117" t="s">
        <v>374</v>
      </c>
      <c r="L17" s="117" t="s">
        <v>374</v>
      </c>
      <c r="M17" s="117" t="s">
        <v>374</v>
      </c>
      <c r="N17" s="118" t="s">
        <v>374</v>
      </c>
      <c r="O17" s="65" t="s">
        <v>374</v>
      </c>
      <c r="P17" s="65" t="s">
        <v>374</v>
      </c>
    </row>
    <row r="18" spans="1:20" ht="15.75" customHeight="1">
      <c r="A18" s="116" t="s">
        <v>125</v>
      </c>
      <c r="B18" s="26">
        <f t="shared" ref="B18:B55" si="0">SUM(C18:P18)</f>
        <v>740</v>
      </c>
      <c r="C18" s="117" t="s">
        <v>374</v>
      </c>
      <c r="D18" s="117" t="s">
        <v>374</v>
      </c>
      <c r="E18" s="117" t="s">
        <v>374</v>
      </c>
      <c r="F18" s="117" t="s">
        <v>374</v>
      </c>
      <c r="G18" s="117" t="s">
        <v>374</v>
      </c>
      <c r="H18" s="117" t="s">
        <v>374</v>
      </c>
      <c r="I18" s="24">
        <f>'c-20'!G13</f>
        <v>740</v>
      </c>
      <c r="J18" s="117" t="s">
        <v>374</v>
      </c>
      <c r="K18" s="117" t="s">
        <v>374</v>
      </c>
      <c r="L18" s="117" t="s">
        <v>374</v>
      </c>
      <c r="M18" s="117" t="s">
        <v>374</v>
      </c>
      <c r="N18" s="118" t="s">
        <v>374</v>
      </c>
      <c r="O18" s="65" t="s">
        <v>374</v>
      </c>
      <c r="P18" s="65" t="s">
        <v>374</v>
      </c>
    </row>
    <row r="19" spans="1:20" ht="15.75" customHeight="1">
      <c r="A19" s="116" t="s">
        <v>126</v>
      </c>
      <c r="B19" s="26">
        <f t="shared" si="0"/>
        <v>1912</v>
      </c>
      <c r="C19" s="117" t="s">
        <v>374</v>
      </c>
      <c r="D19" s="117" t="s">
        <v>374</v>
      </c>
      <c r="E19" s="117" t="s">
        <v>374</v>
      </c>
      <c r="F19" s="117" t="s">
        <v>374</v>
      </c>
      <c r="G19" s="117" t="s">
        <v>374</v>
      </c>
      <c r="H19" s="117" t="s">
        <v>374</v>
      </c>
      <c r="I19" s="24">
        <f>'c-20'!G20</f>
        <v>1912</v>
      </c>
      <c r="J19" s="117" t="s">
        <v>374</v>
      </c>
      <c r="K19" s="117" t="s">
        <v>374</v>
      </c>
      <c r="L19" s="117" t="s">
        <v>374</v>
      </c>
      <c r="M19" s="117" t="s">
        <v>374</v>
      </c>
      <c r="N19" s="118" t="s">
        <v>374</v>
      </c>
      <c r="O19" s="65" t="s">
        <v>374</v>
      </c>
      <c r="P19" s="65" t="s">
        <v>374</v>
      </c>
    </row>
    <row r="20" spans="1:20" ht="15.75" customHeight="1">
      <c r="A20" s="116" t="s">
        <v>377</v>
      </c>
      <c r="B20" s="26">
        <f t="shared" si="0"/>
        <v>473</v>
      </c>
      <c r="C20" s="117" t="s">
        <v>374</v>
      </c>
      <c r="D20" s="117" t="s">
        <v>374</v>
      </c>
      <c r="E20" s="117" t="s">
        <v>374</v>
      </c>
      <c r="F20" s="117" t="s">
        <v>374</v>
      </c>
      <c r="G20" s="117" t="s">
        <v>374</v>
      </c>
      <c r="H20" s="117" t="s">
        <v>374</v>
      </c>
      <c r="I20" s="24">
        <f>'c-20'!G21</f>
        <v>473</v>
      </c>
      <c r="J20" s="117" t="s">
        <v>374</v>
      </c>
      <c r="K20" s="117" t="s">
        <v>374</v>
      </c>
      <c r="L20" s="117" t="s">
        <v>374</v>
      </c>
      <c r="M20" s="117" t="s">
        <v>374</v>
      </c>
      <c r="N20" s="118" t="s">
        <v>374</v>
      </c>
      <c r="O20" s="65" t="s">
        <v>374</v>
      </c>
      <c r="P20" s="65" t="s">
        <v>374</v>
      </c>
    </row>
    <row r="21" spans="1:20" ht="15.75" customHeight="1">
      <c r="A21" s="116" t="s">
        <v>378</v>
      </c>
      <c r="B21" s="26">
        <f t="shared" si="0"/>
        <v>1917</v>
      </c>
      <c r="C21" s="117" t="s">
        <v>374</v>
      </c>
      <c r="D21" s="117" t="s">
        <v>374</v>
      </c>
      <c r="E21" s="117" t="s">
        <v>374</v>
      </c>
      <c r="F21" s="117" t="s">
        <v>374</v>
      </c>
      <c r="G21" s="117" t="s">
        <v>374</v>
      </c>
      <c r="H21" s="117" t="s">
        <v>374</v>
      </c>
      <c r="I21" s="24">
        <f>'c-20'!G16</f>
        <v>1917</v>
      </c>
      <c r="J21" s="117" t="s">
        <v>374</v>
      </c>
      <c r="K21" s="117" t="s">
        <v>374</v>
      </c>
      <c r="L21" s="117" t="s">
        <v>374</v>
      </c>
      <c r="M21" s="117" t="s">
        <v>374</v>
      </c>
      <c r="N21" s="118" t="s">
        <v>374</v>
      </c>
      <c r="O21" s="65" t="s">
        <v>374</v>
      </c>
      <c r="P21" s="65" t="s">
        <v>374</v>
      </c>
    </row>
    <row r="22" spans="1:20" ht="15.75" customHeight="1">
      <c r="A22" s="116" t="s">
        <v>127</v>
      </c>
      <c r="B22" s="26">
        <f t="shared" si="0"/>
        <v>652</v>
      </c>
      <c r="C22" s="117" t="s">
        <v>374</v>
      </c>
      <c r="D22" s="117" t="s">
        <v>374</v>
      </c>
      <c r="E22" s="117" t="s">
        <v>374</v>
      </c>
      <c r="F22" s="117" t="s">
        <v>374</v>
      </c>
      <c r="G22" s="117" t="s">
        <v>374</v>
      </c>
      <c r="H22" s="117" t="s">
        <v>374</v>
      </c>
      <c r="I22" s="24">
        <f>'c-20'!G17</f>
        <v>652</v>
      </c>
      <c r="J22" s="117" t="s">
        <v>374</v>
      </c>
      <c r="K22" s="117" t="s">
        <v>374</v>
      </c>
      <c r="L22" s="117" t="s">
        <v>374</v>
      </c>
      <c r="M22" s="117" t="s">
        <v>374</v>
      </c>
      <c r="N22" s="118" t="s">
        <v>374</v>
      </c>
      <c r="O22" s="65" t="s">
        <v>374</v>
      </c>
      <c r="P22" s="65" t="s">
        <v>374</v>
      </c>
    </row>
    <row r="23" spans="1:20" ht="15.75" customHeight="1">
      <c r="A23" s="116" t="s">
        <v>563</v>
      </c>
      <c r="B23" s="26">
        <f t="shared" si="0"/>
        <v>214</v>
      </c>
      <c r="C23" s="117" t="s">
        <v>374</v>
      </c>
      <c r="D23" s="117" t="s">
        <v>374</v>
      </c>
      <c r="E23" s="117" t="s">
        <v>374</v>
      </c>
      <c r="F23" s="117" t="s">
        <v>374</v>
      </c>
      <c r="G23" s="117" t="s">
        <v>374</v>
      </c>
      <c r="H23" s="117" t="s">
        <v>374</v>
      </c>
      <c r="I23" s="24">
        <f>'c-20'!G62</f>
        <v>214</v>
      </c>
      <c r="J23" s="117" t="s">
        <v>374</v>
      </c>
      <c r="K23" s="117" t="s">
        <v>374</v>
      </c>
      <c r="L23" s="117" t="s">
        <v>374</v>
      </c>
      <c r="M23" s="117" t="s">
        <v>374</v>
      </c>
      <c r="N23" s="118" t="s">
        <v>374</v>
      </c>
      <c r="O23" s="65" t="s">
        <v>374</v>
      </c>
      <c r="P23" s="65" t="s">
        <v>374</v>
      </c>
    </row>
    <row r="24" spans="1:20" ht="15.75" customHeight="1">
      <c r="A24" s="116" t="s">
        <v>564</v>
      </c>
      <c r="B24" s="26">
        <f t="shared" si="0"/>
        <v>157</v>
      </c>
      <c r="C24" s="117" t="s">
        <v>374</v>
      </c>
      <c r="D24" s="117" t="s">
        <v>374</v>
      </c>
      <c r="E24" s="117" t="s">
        <v>374</v>
      </c>
      <c r="F24" s="117" t="s">
        <v>374</v>
      </c>
      <c r="G24" s="117" t="s">
        <v>374</v>
      </c>
      <c r="H24" s="117" t="s">
        <v>374</v>
      </c>
      <c r="I24" s="24">
        <f>'c-20'!G63</f>
        <v>157</v>
      </c>
      <c r="J24" s="117" t="s">
        <v>374</v>
      </c>
      <c r="K24" s="117" t="s">
        <v>374</v>
      </c>
      <c r="L24" s="117" t="s">
        <v>374</v>
      </c>
      <c r="M24" s="117" t="s">
        <v>374</v>
      </c>
      <c r="N24" s="118" t="s">
        <v>374</v>
      </c>
      <c r="O24" s="65" t="s">
        <v>374</v>
      </c>
      <c r="P24" s="65" t="s">
        <v>374</v>
      </c>
    </row>
    <row r="25" spans="1:20" ht="15.75" customHeight="1">
      <c r="A25" s="116" t="s">
        <v>565</v>
      </c>
      <c r="B25" s="26">
        <f t="shared" si="0"/>
        <v>1137</v>
      </c>
      <c r="C25" s="117" t="s">
        <v>374</v>
      </c>
      <c r="D25" s="117" t="s">
        <v>374</v>
      </c>
      <c r="E25" s="117" t="s">
        <v>374</v>
      </c>
      <c r="F25" s="117" t="s">
        <v>374</v>
      </c>
      <c r="G25" s="117" t="s">
        <v>374</v>
      </c>
      <c r="H25" s="117" t="s">
        <v>374</v>
      </c>
      <c r="I25" s="24">
        <f>'c-20'!G24</f>
        <v>1137</v>
      </c>
      <c r="J25" s="117" t="s">
        <v>374</v>
      </c>
      <c r="K25" s="117" t="s">
        <v>374</v>
      </c>
      <c r="L25" s="117" t="s">
        <v>374</v>
      </c>
      <c r="M25" s="117" t="s">
        <v>374</v>
      </c>
      <c r="N25" s="118" t="s">
        <v>374</v>
      </c>
      <c r="O25" s="65" t="s">
        <v>374</v>
      </c>
      <c r="P25" s="65" t="s">
        <v>374</v>
      </c>
    </row>
    <row r="26" spans="1:20" ht="15.75" customHeight="1">
      <c r="A26" s="116" t="s">
        <v>128</v>
      </c>
      <c r="B26" s="26">
        <f t="shared" si="0"/>
        <v>233</v>
      </c>
      <c r="C26" s="117" t="s">
        <v>374</v>
      </c>
      <c r="D26" s="117" t="s">
        <v>374</v>
      </c>
      <c r="E26" s="117" t="s">
        <v>374</v>
      </c>
      <c r="F26" s="117" t="s">
        <v>374</v>
      </c>
      <c r="G26" s="117" t="s">
        <v>374</v>
      </c>
      <c r="H26" s="117" t="s">
        <v>374</v>
      </c>
      <c r="I26" s="24">
        <f>'c-20'!G25</f>
        <v>233</v>
      </c>
      <c r="J26" s="117" t="s">
        <v>374</v>
      </c>
      <c r="K26" s="117" t="s">
        <v>374</v>
      </c>
      <c r="L26" s="117" t="s">
        <v>374</v>
      </c>
      <c r="M26" s="117" t="s">
        <v>374</v>
      </c>
      <c r="N26" s="118" t="s">
        <v>374</v>
      </c>
      <c r="O26" s="65" t="s">
        <v>374</v>
      </c>
      <c r="P26" s="65" t="s">
        <v>374</v>
      </c>
      <c r="S26" s="91"/>
      <c r="T26" s="91"/>
    </row>
    <row r="27" spans="1:20" ht="15.75" customHeight="1">
      <c r="A27" s="116" t="s">
        <v>566</v>
      </c>
      <c r="B27" s="26">
        <f t="shared" si="0"/>
        <v>295</v>
      </c>
      <c r="C27" s="117" t="s">
        <v>374</v>
      </c>
      <c r="D27" s="117" t="s">
        <v>374</v>
      </c>
      <c r="E27" s="117" t="s">
        <v>374</v>
      </c>
      <c r="F27" s="117" t="s">
        <v>374</v>
      </c>
      <c r="G27" s="117" t="s">
        <v>374</v>
      </c>
      <c r="H27" s="117" t="s">
        <v>374</v>
      </c>
      <c r="I27" s="24">
        <f>'c-20'!G32</f>
        <v>295</v>
      </c>
      <c r="J27" s="117" t="s">
        <v>374</v>
      </c>
      <c r="K27" s="117" t="s">
        <v>374</v>
      </c>
      <c r="L27" s="117" t="s">
        <v>374</v>
      </c>
      <c r="M27" s="117" t="s">
        <v>374</v>
      </c>
      <c r="N27" s="118" t="s">
        <v>374</v>
      </c>
      <c r="O27" s="65" t="s">
        <v>374</v>
      </c>
      <c r="P27" s="65" t="s">
        <v>374</v>
      </c>
      <c r="S27" s="91"/>
      <c r="T27" s="91"/>
    </row>
    <row r="28" spans="1:20" ht="15.75" customHeight="1">
      <c r="A28" s="116" t="s">
        <v>567</v>
      </c>
      <c r="B28" s="26">
        <f t="shared" si="0"/>
        <v>311</v>
      </c>
      <c r="C28" s="117" t="s">
        <v>374</v>
      </c>
      <c r="D28" s="117" t="s">
        <v>374</v>
      </c>
      <c r="E28" s="117" t="s">
        <v>374</v>
      </c>
      <c r="F28" s="117" t="s">
        <v>374</v>
      </c>
      <c r="G28" s="117" t="s">
        <v>374</v>
      </c>
      <c r="H28" s="117" t="s">
        <v>374</v>
      </c>
      <c r="I28" s="24">
        <f>'c-20'!G33</f>
        <v>311</v>
      </c>
      <c r="J28" s="117" t="s">
        <v>374</v>
      </c>
      <c r="K28" s="117" t="s">
        <v>374</v>
      </c>
      <c r="L28" s="117" t="s">
        <v>374</v>
      </c>
      <c r="M28" s="117" t="s">
        <v>374</v>
      </c>
      <c r="N28" s="118" t="s">
        <v>374</v>
      </c>
      <c r="O28" s="65" t="s">
        <v>374</v>
      </c>
      <c r="P28" s="65" t="s">
        <v>374</v>
      </c>
      <c r="S28" s="91"/>
      <c r="T28" s="91"/>
    </row>
    <row r="29" spans="1:20" ht="15.75" customHeight="1">
      <c r="A29" s="116" t="s">
        <v>568</v>
      </c>
      <c r="B29" s="26">
        <f t="shared" si="0"/>
        <v>144</v>
      </c>
      <c r="C29" s="117" t="s">
        <v>374</v>
      </c>
      <c r="D29" s="117" t="s">
        <v>374</v>
      </c>
      <c r="E29" s="117" t="s">
        <v>374</v>
      </c>
      <c r="F29" s="117" t="s">
        <v>374</v>
      </c>
      <c r="G29" s="117" t="s">
        <v>374</v>
      </c>
      <c r="H29" s="117" t="s">
        <v>374</v>
      </c>
      <c r="I29" s="24">
        <f>'c-20'!G34</f>
        <v>144</v>
      </c>
      <c r="J29" s="117" t="s">
        <v>374</v>
      </c>
      <c r="K29" s="117" t="s">
        <v>374</v>
      </c>
      <c r="L29" s="117" t="s">
        <v>374</v>
      </c>
      <c r="M29" s="117" t="s">
        <v>374</v>
      </c>
      <c r="N29" s="118" t="s">
        <v>374</v>
      </c>
      <c r="O29" s="65" t="s">
        <v>374</v>
      </c>
      <c r="P29" s="65" t="s">
        <v>374</v>
      </c>
    </row>
    <row r="30" spans="1:20" ht="15.75" customHeight="1">
      <c r="A30" s="116" t="s">
        <v>129</v>
      </c>
      <c r="B30" s="26">
        <f t="shared" si="0"/>
        <v>543</v>
      </c>
      <c r="C30" s="117" t="s">
        <v>374</v>
      </c>
      <c r="D30" s="117" t="s">
        <v>374</v>
      </c>
      <c r="E30" s="117" t="s">
        <v>374</v>
      </c>
      <c r="F30" s="117" t="s">
        <v>374</v>
      </c>
      <c r="G30" s="117" t="s">
        <v>374</v>
      </c>
      <c r="H30" s="117" t="s">
        <v>374</v>
      </c>
      <c r="I30" s="24">
        <f>'c-20'!G28</f>
        <v>543</v>
      </c>
      <c r="J30" s="117" t="s">
        <v>374</v>
      </c>
      <c r="K30" s="117" t="s">
        <v>374</v>
      </c>
      <c r="L30" s="117" t="s">
        <v>374</v>
      </c>
      <c r="M30" s="117" t="s">
        <v>374</v>
      </c>
      <c r="N30" s="118" t="s">
        <v>374</v>
      </c>
      <c r="O30" s="65" t="s">
        <v>374</v>
      </c>
      <c r="P30" s="65" t="s">
        <v>374</v>
      </c>
    </row>
    <row r="31" spans="1:20" ht="15.75" customHeight="1">
      <c r="A31" s="116" t="s">
        <v>130</v>
      </c>
      <c r="B31" s="26">
        <f t="shared" si="0"/>
        <v>672</v>
      </c>
      <c r="C31" s="117" t="s">
        <v>374</v>
      </c>
      <c r="D31" s="117" t="s">
        <v>374</v>
      </c>
      <c r="E31" s="117" t="s">
        <v>374</v>
      </c>
      <c r="F31" s="117" t="s">
        <v>374</v>
      </c>
      <c r="G31" s="117" t="s">
        <v>374</v>
      </c>
      <c r="H31" s="117" t="s">
        <v>374</v>
      </c>
      <c r="I31" s="24">
        <f>'c-20'!G29</f>
        <v>672</v>
      </c>
      <c r="J31" s="117" t="s">
        <v>374</v>
      </c>
      <c r="K31" s="117" t="s">
        <v>374</v>
      </c>
      <c r="L31" s="117" t="s">
        <v>374</v>
      </c>
      <c r="M31" s="117" t="s">
        <v>374</v>
      </c>
      <c r="N31" s="118" t="s">
        <v>374</v>
      </c>
      <c r="O31" s="65" t="s">
        <v>374</v>
      </c>
      <c r="P31" s="65" t="s">
        <v>374</v>
      </c>
    </row>
    <row r="32" spans="1:20" ht="15.75" customHeight="1">
      <c r="A32" s="116" t="s">
        <v>569</v>
      </c>
      <c r="B32" s="26">
        <f t="shared" si="0"/>
        <v>1818</v>
      </c>
      <c r="C32" s="117" t="s">
        <v>374</v>
      </c>
      <c r="D32" s="117" t="s">
        <v>374</v>
      </c>
      <c r="E32" s="117" t="s">
        <v>374</v>
      </c>
      <c r="F32" s="117" t="s">
        <v>374</v>
      </c>
      <c r="G32" s="117" t="s">
        <v>374</v>
      </c>
      <c r="H32" s="117" t="s">
        <v>374</v>
      </c>
      <c r="I32" s="24">
        <f>'c-20'!G37</f>
        <v>1818</v>
      </c>
      <c r="J32" s="117" t="s">
        <v>374</v>
      </c>
      <c r="K32" s="117" t="s">
        <v>374</v>
      </c>
      <c r="L32" s="117" t="s">
        <v>374</v>
      </c>
      <c r="M32" s="117" t="s">
        <v>374</v>
      </c>
      <c r="N32" s="118" t="s">
        <v>374</v>
      </c>
      <c r="O32" s="65" t="s">
        <v>374</v>
      </c>
      <c r="P32" s="65" t="s">
        <v>374</v>
      </c>
    </row>
    <row r="33" spans="1:20" ht="15.75" customHeight="1">
      <c r="A33" s="116" t="s">
        <v>131</v>
      </c>
      <c r="B33" s="26">
        <f t="shared" si="0"/>
        <v>217</v>
      </c>
      <c r="C33" s="117" t="s">
        <v>374</v>
      </c>
      <c r="D33" s="117" t="s">
        <v>374</v>
      </c>
      <c r="E33" s="117" t="s">
        <v>374</v>
      </c>
      <c r="F33" s="117" t="s">
        <v>374</v>
      </c>
      <c r="G33" s="117" t="s">
        <v>374</v>
      </c>
      <c r="H33" s="117" t="s">
        <v>374</v>
      </c>
      <c r="I33" s="24">
        <f>'c-20'!G38</f>
        <v>217</v>
      </c>
      <c r="J33" s="117" t="s">
        <v>374</v>
      </c>
      <c r="K33" s="117" t="s">
        <v>374</v>
      </c>
      <c r="L33" s="117" t="s">
        <v>374</v>
      </c>
      <c r="M33" s="117" t="s">
        <v>374</v>
      </c>
      <c r="N33" s="118" t="s">
        <v>374</v>
      </c>
      <c r="O33" s="65" t="s">
        <v>374</v>
      </c>
      <c r="P33" s="65" t="s">
        <v>374</v>
      </c>
    </row>
    <row r="34" spans="1:20" ht="15.75" customHeight="1">
      <c r="A34" s="116" t="s">
        <v>570</v>
      </c>
      <c r="B34" s="26">
        <f t="shared" si="0"/>
        <v>412</v>
      </c>
      <c r="C34" s="117" t="s">
        <v>374</v>
      </c>
      <c r="D34" s="117" t="s">
        <v>374</v>
      </c>
      <c r="E34" s="117" t="s">
        <v>374</v>
      </c>
      <c r="F34" s="117" t="s">
        <v>374</v>
      </c>
      <c r="G34" s="117" t="s">
        <v>374</v>
      </c>
      <c r="H34" s="117" t="s">
        <v>374</v>
      </c>
      <c r="I34" s="24">
        <f>'c-20'!G39</f>
        <v>412</v>
      </c>
      <c r="J34" s="117" t="s">
        <v>374</v>
      </c>
      <c r="K34" s="117" t="s">
        <v>374</v>
      </c>
      <c r="L34" s="117" t="s">
        <v>374</v>
      </c>
      <c r="M34" s="117" t="s">
        <v>374</v>
      </c>
      <c r="N34" s="118" t="s">
        <v>374</v>
      </c>
      <c r="O34" s="65" t="s">
        <v>374</v>
      </c>
      <c r="P34" s="65" t="s">
        <v>374</v>
      </c>
    </row>
    <row r="35" spans="1:20" ht="15.75" customHeight="1">
      <c r="A35" s="116" t="s">
        <v>571</v>
      </c>
      <c r="B35" s="26">
        <f t="shared" si="0"/>
        <v>1740</v>
      </c>
      <c r="C35" s="117" t="s">
        <v>374</v>
      </c>
      <c r="D35" s="117" t="s">
        <v>374</v>
      </c>
      <c r="E35" s="117" t="s">
        <v>374</v>
      </c>
      <c r="F35" s="117" t="s">
        <v>374</v>
      </c>
      <c r="G35" s="117" t="s">
        <v>374</v>
      </c>
      <c r="H35" s="117" t="s">
        <v>374</v>
      </c>
      <c r="I35" s="24">
        <f>'c-20'!G42</f>
        <v>1740</v>
      </c>
      <c r="J35" s="117" t="s">
        <v>374</v>
      </c>
      <c r="K35" s="117" t="s">
        <v>374</v>
      </c>
      <c r="L35" s="117" t="s">
        <v>374</v>
      </c>
      <c r="M35" s="117" t="s">
        <v>374</v>
      </c>
      <c r="N35" s="118" t="s">
        <v>374</v>
      </c>
      <c r="O35" s="65" t="s">
        <v>374</v>
      </c>
      <c r="P35" s="65" t="s">
        <v>374</v>
      </c>
    </row>
    <row r="36" spans="1:20" ht="15.75" customHeight="1">
      <c r="A36" s="116" t="s">
        <v>122</v>
      </c>
      <c r="B36" s="26">
        <f t="shared" si="0"/>
        <v>610</v>
      </c>
      <c r="C36" s="117" t="s">
        <v>374</v>
      </c>
      <c r="D36" s="117" t="s">
        <v>374</v>
      </c>
      <c r="E36" s="117" t="s">
        <v>374</v>
      </c>
      <c r="F36" s="117" t="s">
        <v>374</v>
      </c>
      <c r="G36" s="117" t="s">
        <v>374</v>
      </c>
      <c r="H36" s="117" t="s">
        <v>374</v>
      </c>
      <c r="I36" s="24">
        <f>'c-20'!G43</f>
        <v>610</v>
      </c>
      <c r="J36" s="117" t="s">
        <v>374</v>
      </c>
      <c r="K36" s="117" t="s">
        <v>374</v>
      </c>
      <c r="L36" s="117" t="s">
        <v>374</v>
      </c>
      <c r="M36" s="117" t="s">
        <v>374</v>
      </c>
      <c r="N36" s="118" t="s">
        <v>374</v>
      </c>
      <c r="O36" s="65" t="s">
        <v>374</v>
      </c>
      <c r="P36" s="65" t="s">
        <v>374</v>
      </c>
    </row>
    <row r="37" spans="1:20" ht="15.75" customHeight="1">
      <c r="A37" s="116" t="s">
        <v>572</v>
      </c>
      <c r="B37" s="26">
        <f t="shared" si="0"/>
        <v>380</v>
      </c>
      <c r="C37" s="117" t="s">
        <v>374</v>
      </c>
      <c r="D37" s="117" t="s">
        <v>374</v>
      </c>
      <c r="E37" s="117" t="s">
        <v>374</v>
      </c>
      <c r="F37" s="117" t="s">
        <v>374</v>
      </c>
      <c r="G37" s="117" t="s">
        <v>374</v>
      </c>
      <c r="H37" s="117" t="s">
        <v>374</v>
      </c>
      <c r="I37" s="24">
        <f>'c-20'!G44</f>
        <v>380</v>
      </c>
      <c r="J37" s="117" t="s">
        <v>374</v>
      </c>
      <c r="K37" s="117" t="s">
        <v>374</v>
      </c>
      <c r="L37" s="117" t="s">
        <v>374</v>
      </c>
      <c r="M37" s="117" t="s">
        <v>374</v>
      </c>
      <c r="N37" s="118" t="s">
        <v>374</v>
      </c>
      <c r="O37" s="65" t="s">
        <v>374</v>
      </c>
      <c r="P37" s="65" t="s">
        <v>374</v>
      </c>
    </row>
    <row r="38" spans="1:20" ht="15.75" customHeight="1">
      <c r="A38" s="116" t="s">
        <v>573</v>
      </c>
      <c r="B38" s="26">
        <f t="shared" si="0"/>
        <v>1974</v>
      </c>
      <c r="C38" s="117" t="s">
        <v>374</v>
      </c>
      <c r="D38" s="117" t="s">
        <v>374</v>
      </c>
      <c r="E38" s="117" t="s">
        <v>374</v>
      </c>
      <c r="F38" s="117" t="s">
        <v>374</v>
      </c>
      <c r="G38" s="117" t="s">
        <v>374</v>
      </c>
      <c r="H38" s="117" t="s">
        <v>374</v>
      </c>
      <c r="I38" s="24">
        <f>'c-20'!G47</f>
        <v>1974</v>
      </c>
      <c r="J38" s="117" t="s">
        <v>374</v>
      </c>
      <c r="K38" s="117" t="s">
        <v>374</v>
      </c>
      <c r="L38" s="117" t="s">
        <v>374</v>
      </c>
      <c r="M38" s="117" t="s">
        <v>374</v>
      </c>
      <c r="N38" s="118" t="s">
        <v>374</v>
      </c>
      <c r="O38" s="65" t="s">
        <v>374</v>
      </c>
      <c r="P38" s="65" t="s">
        <v>374</v>
      </c>
    </row>
    <row r="39" spans="1:20" ht="15.75" customHeight="1">
      <c r="A39" s="116" t="s">
        <v>574</v>
      </c>
      <c r="B39" s="26">
        <f t="shared" si="0"/>
        <v>575</v>
      </c>
      <c r="C39" s="117" t="s">
        <v>374</v>
      </c>
      <c r="D39" s="117" t="s">
        <v>374</v>
      </c>
      <c r="E39" s="117" t="s">
        <v>374</v>
      </c>
      <c r="F39" s="117" t="s">
        <v>374</v>
      </c>
      <c r="G39" s="117" t="s">
        <v>374</v>
      </c>
      <c r="H39" s="117" t="s">
        <v>374</v>
      </c>
      <c r="I39" s="24">
        <f>'c-20'!G48</f>
        <v>575</v>
      </c>
      <c r="J39" s="117" t="s">
        <v>374</v>
      </c>
      <c r="K39" s="117" t="s">
        <v>374</v>
      </c>
      <c r="L39" s="117" t="s">
        <v>374</v>
      </c>
      <c r="M39" s="117" t="s">
        <v>374</v>
      </c>
      <c r="N39" s="118" t="s">
        <v>374</v>
      </c>
      <c r="O39" s="65" t="s">
        <v>374</v>
      </c>
      <c r="P39" s="65" t="s">
        <v>374</v>
      </c>
    </row>
    <row r="40" spans="1:20" ht="15.75" customHeight="1">
      <c r="A40" s="116" t="s">
        <v>575</v>
      </c>
      <c r="B40" s="26">
        <f t="shared" si="0"/>
        <v>277</v>
      </c>
      <c r="C40" s="117" t="s">
        <v>374</v>
      </c>
      <c r="D40" s="117" t="s">
        <v>374</v>
      </c>
      <c r="E40" s="117" t="s">
        <v>374</v>
      </c>
      <c r="F40" s="117" t="s">
        <v>374</v>
      </c>
      <c r="G40" s="117" t="s">
        <v>374</v>
      </c>
      <c r="H40" s="117" t="s">
        <v>374</v>
      </c>
      <c r="I40" s="24">
        <f>'c-20'!G49</f>
        <v>277</v>
      </c>
      <c r="J40" s="117" t="s">
        <v>374</v>
      </c>
      <c r="K40" s="117" t="s">
        <v>374</v>
      </c>
      <c r="L40" s="117" t="s">
        <v>374</v>
      </c>
      <c r="M40" s="117" t="s">
        <v>374</v>
      </c>
      <c r="N40" s="118" t="s">
        <v>374</v>
      </c>
      <c r="O40" s="65" t="s">
        <v>374</v>
      </c>
      <c r="P40" s="65" t="s">
        <v>374</v>
      </c>
    </row>
    <row r="41" spans="1:20" ht="15.75" customHeight="1">
      <c r="A41" s="116" t="s">
        <v>576</v>
      </c>
      <c r="B41" s="26">
        <f t="shared" si="0"/>
        <v>976</v>
      </c>
      <c r="C41" s="117" t="s">
        <v>374</v>
      </c>
      <c r="D41" s="117" t="s">
        <v>374</v>
      </c>
      <c r="E41" s="117" t="s">
        <v>374</v>
      </c>
      <c r="F41" s="117" t="s">
        <v>374</v>
      </c>
      <c r="G41" s="117" t="s">
        <v>374</v>
      </c>
      <c r="H41" s="117" t="s">
        <v>374</v>
      </c>
      <c r="I41" s="24">
        <f>'c-20'!G52</f>
        <v>976</v>
      </c>
      <c r="J41" s="117" t="s">
        <v>374</v>
      </c>
      <c r="K41" s="117" t="s">
        <v>374</v>
      </c>
      <c r="L41" s="117" t="s">
        <v>374</v>
      </c>
      <c r="M41" s="117" t="s">
        <v>374</v>
      </c>
      <c r="N41" s="118" t="s">
        <v>374</v>
      </c>
      <c r="O41" s="65" t="s">
        <v>374</v>
      </c>
      <c r="P41" s="65" t="s">
        <v>374</v>
      </c>
      <c r="S41" s="91"/>
      <c r="T41" s="91"/>
    </row>
    <row r="42" spans="1:20" ht="15.75" customHeight="1">
      <c r="A42" s="116" t="s">
        <v>577</v>
      </c>
      <c r="B42" s="26">
        <f t="shared" si="0"/>
        <v>1148</v>
      </c>
      <c r="C42" s="117" t="s">
        <v>374</v>
      </c>
      <c r="D42" s="117" t="s">
        <v>374</v>
      </c>
      <c r="E42" s="117" t="s">
        <v>374</v>
      </c>
      <c r="F42" s="117" t="s">
        <v>374</v>
      </c>
      <c r="G42" s="117" t="s">
        <v>374</v>
      </c>
      <c r="H42" s="117" t="s">
        <v>374</v>
      </c>
      <c r="I42" s="24">
        <f>'c-20'!G53</f>
        <v>1148</v>
      </c>
      <c r="J42" s="117" t="s">
        <v>374</v>
      </c>
      <c r="K42" s="117" t="s">
        <v>374</v>
      </c>
      <c r="L42" s="117" t="s">
        <v>374</v>
      </c>
      <c r="M42" s="117" t="s">
        <v>374</v>
      </c>
      <c r="N42" s="118" t="s">
        <v>374</v>
      </c>
      <c r="O42" s="65" t="s">
        <v>374</v>
      </c>
      <c r="P42" s="65" t="s">
        <v>374</v>
      </c>
    </row>
    <row r="43" spans="1:20" ht="15.75" customHeight="1">
      <c r="A43" s="116" t="s">
        <v>578</v>
      </c>
      <c r="B43" s="26">
        <f t="shared" si="0"/>
        <v>502</v>
      </c>
      <c r="C43" s="117" t="s">
        <v>374</v>
      </c>
      <c r="D43" s="117" t="s">
        <v>374</v>
      </c>
      <c r="E43" s="117" t="s">
        <v>374</v>
      </c>
      <c r="F43" s="117" t="s">
        <v>374</v>
      </c>
      <c r="G43" s="117" t="s">
        <v>374</v>
      </c>
      <c r="H43" s="117" t="s">
        <v>374</v>
      </c>
      <c r="I43" s="24">
        <f>'c-20'!G54</f>
        <v>502</v>
      </c>
      <c r="J43" s="117" t="s">
        <v>374</v>
      </c>
      <c r="K43" s="117" t="s">
        <v>374</v>
      </c>
      <c r="L43" s="117" t="s">
        <v>374</v>
      </c>
      <c r="M43" s="117" t="s">
        <v>374</v>
      </c>
      <c r="N43" s="118" t="s">
        <v>374</v>
      </c>
      <c r="O43" s="65" t="s">
        <v>374</v>
      </c>
      <c r="P43" s="65" t="s">
        <v>374</v>
      </c>
    </row>
    <row r="44" spans="1:20" ht="15.75" customHeight="1">
      <c r="A44" s="119" t="s">
        <v>579</v>
      </c>
      <c r="B44" s="26">
        <f t="shared" si="0"/>
        <v>1547</v>
      </c>
      <c r="C44" s="117" t="s">
        <v>374</v>
      </c>
      <c r="D44" s="117" t="s">
        <v>374</v>
      </c>
      <c r="E44" s="117" t="s">
        <v>374</v>
      </c>
      <c r="F44" s="117" t="s">
        <v>374</v>
      </c>
      <c r="G44" s="117" t="s">
        <v>374</v>
      </c>
      <c r="H44" s="117" t="s">
        <v>374</v>
      </c>
      <c r="I44" s="24">
        <f>'c-20'!G57</f>
        <v>1547</v>
      </c>
      <c r="J44" s="117" t="s">
        <v>374</v>
      </c>
      <c r="K44" s="117" t="s">
        <v>374</v>
      </c>
      <c r="L44" s="117" t="s">
        <v>374</v>
      </c>
      <c r="M44" s="117" t="s">
        <v>374</v>
      </c>
      <c r="N44" s="118" t="s">
        <v>374</v>
      </c>
      <c r="O44" s="65" t="s">
        <v>374</v>
      </c>
      <c r="P44" s="65" t="s">
        <v>374</v>
      </c>
    </row>
    <row r="45" spans="1:20" ht="15.75" customHeight="1">
      <c r="A45" s="119" t="s">
        <v>880</v>
      </c>
      <c r="B45" s="26">
        <f t="shared" si="0"/>
        <v>451</v>
      </c>
      <c r="C45" s="117" t="s">
        <v>374</v>
      </c>
      <c r="D45" s="117" t="s">
        <v>374</v>
      </c>
      <c r="E45" s="117" t="s">
        <v>374</v>
      </c>
      <c r="F45" s="117" t="s">
        <v>374</v>
      </c>
      <c r="G45" s="117" t="s">
        <v>374</v>
      </c>
      <c r="H45" s="117" t="s">
        <v>374</v>
      </c>
      <c r="I45" s="24">
        <f>'c-20'!G58</f>
        <v>451</v>
      </c>
      <c r="J45" s="117" t="s">
        <v>374</v>
      </c>
      <c r="K45" s="117" t="s">
        <v>374</v>
      </c>
      <c r="L45" s="117" t="s">
        <v>374</v>
      </c>
      <c r="M45" s="117" t="s">
        <v>374</v>
      </c>
      <c r="N45" s="118" t="s">
        <v>374</v>
      </c>
      <c r="O45" s="65" t="s">
        <v>374</v>
      </c>
      <c r="P45" s="65" t="s">
        <v>374</v>
      </c>
    </row>
    <row r="46" spans="1:20" ht="15.75" customHeight="1">
      <c r="A46" s="119" t="s">
        <v>580</v>
      </c>
      <c r="B46" s="26">
        <f t="shared" si="0"/>
        <v>252</v>
      </c>
      <c r="C46" s="117" t="s">
        <v>374</v>
      </c>
      <c r="D46" s="117" t="s">
        <v>374</v>
      </c>
      <c r="E46" s="117" t="s">
        <v>374</v>
      </c>
      <c r="F46" s="117" t="s">
        <v>374</v>
      </c>
      <c r="G46" s="117" t="s">
        <v>374</v>
      </c>
      <c r="H46" s="117" t="s">
        <v>374</v>
      </c>
      <c r="I46" s="24">
        <f>'c-20'!G59</f>
        <v>252</v>
      </c>
      <c r="J46" s="117" t="s">
        <v>374</v>
      </c>
      <c r="K46" s="117" t="s">
        <v>374</v>
      </c>
      <c r="L46" s="117" t="s">
        <v>374</v>
      </c>
      <c r="M46" s="117" t="s">
        <v>374</v>
      </c>
      <c r="N46" s="118" t="s">
        <v>374</v>
      </c>
      <c r="O46" s="65" t="s">
        <v>374</v>
      </c>
      <c r="P46" s="65" t="s">
        <v>374</v>
      </c>
    </row>
    <row r="47" spans="1:20" ht="15.75" customHeight="1">
      <c r="A47" s="119" t="s">
        <v>581</v>
      </c>
      <c r="B47" s="26">
        <f t="shared" si="0"/>
        <v>569</v>
      </c>
      <c r="C47" s="117" t="s">
        <v>374</v>
      </c>
      <c r="D47" s="117" t="s">
        <v>374</v>
      </c>
      <c r="E47" s="117" t="s">
        <v>374</v>
      </c>
      <c r="F47" s="117" t="s">
        <v>374</v>
      </c>
      <c r="G47" s="117" t="s">
        <v>374</v>
      </c>
      <c r="H47" s="117" t="s">
        <v>374</v>
      </c>
      <c r="I47" s="24">
        <f>'c-20'!G66</f>
        <v>569</v>
      </c>
      <c r="J47" s="117" t="s">
        <v>374</v>
      </c>
      <c r="K47" s="117" t="s">
        <v>374</v>
      </c>
      <c r="L47" s="117" t="s">
        <v>374</v>
      </c>
      <c r="M47" s="117" t="s">
        <v>374</v>
      </c>
      <c r="N47" s="118" t="s">
        <v>374</v>
      </c>
      <c r="O47" s="65" t="s">
        <v>374</v>
      </c>
      <c r="P47" s="65" t="s">
        <v>374</v>
      </c>
    </row>
    <row r="48" spans="1:20" ht="15.75" customHeight="1">
      <c r="A48" s="119" t="s">
        <v>582</v>
      </c>
      <c r="B48" s="26">
        <f t="shared" si="0"/>
        <v>415</v>
      </c>
      <c r="C48" s="117" t="s">
        <v>374</v>
      </c>
      <c r="D48" s="117" t="s">
        <v>374</v>
      </c>
      <c r="E48" s="117" t="s">
        <v>374</v>
      </c>
      <c r="F48" s="117" t="s">
        <v>374</v>
      </c>
      <c r="G48" s="117" t="s">
        <v>374</v>
      </c>
      <c r="H48" s="117" t="s">
        <v>374</v>
      </c>
      <c r="I48" s="24">
        <f>'c-20'!G67</f>
        <v>415</v>
      </c>
      <c r="J48" s="64" t="s">
        <v>374</v>
      </c>
      <c r="K48" s="117" t="s">
        <v>374</v>
      </c>
      <c r="L48" s="117" t="s">
        <v>374</v>
      </c>
      <c r="M48" s="117" t="s">
        <v>374</v>
      </c>
      <c r="N48" s="118" t="s">
        <v>374</v>
      </c>
      <c r="O48" s="65" t="s">
        <v>374</v>
      </c>
      <c r="P48" s="65" t="s">
        <v>374</v>
      </c>
    </row>
    <row r="49" spans="1:20" ht="15.75" customHeight="1">
      <c r="A49" s="119" t="s">
        <v>583</v>
      </c>
      <c r="B49" s="26">
        <f t="shared" si="0"/>
        <v>931</v>
      </c>
      <c r="C49" s="117" t="s">
        <v>374</v>
      </c>
      <c r="D49" s="117" t="s">
        <v>374</v>
      </c>
      <c r="E49" s="117" t="s">
        <v>374</v>
      </c>
      <c r="F49" s="117" t="s">
        <v>374</v>
      </c>
      <c r="G49" s="117" t="s">
        <v>374</v>
      </c>
      <c r="H49" s="117" t="s">
        <v>374</v>
      </c>
      <c r="I49" s="24">
        <f>'c-20'!G68</f>
        <v>931</v>
      </c>
      <c r="J49" s="64" t="s">
        <v>374</v>
      </c>
      <c r="K49" s="117" t="s">
        <v>374</v>
      </c>
      <c r="L49" s="117" t="s">
        <v>374</v>
      </c>
      <c r="M49" s="117" t="s">
        <v>374</v>
      </c>
      <c r="N49" s="118" t="s">
        <v>374</v>
      </c>
      <c r="O49" s="65" t="s">
        <v>374</v>
      </c>
      <c r="P49" s="65" t="s">
        <v>374</v>
      </c>
    </row>
    <row r="50" spans="1:20" ht="15.75" customHeight="1">
      <c r="A50" s="119" t="s">
        <v>584</v>
      </c>
      <c r="B50" s="26">
        <f t="shared" si="0"/>
        <v>171</v>
      </c>
      <c r="C50" s="117" t="s">
        <v>374</v>
      </c>
      <c r="D50" s="117" t="s">
        <v>374</v>
      </c>
      <c r="E50" s="117" t="s">
        <v>374</v>
      </c>
      <c r="F50" s="117" t="s">
        <v>374</v>
      </c>
      <c r="G50" s="117" t="s">
        <v>374</v>
      </c>
      <c r="H50" s="117" t="s">
        <v>374</v>
      </c>
      <c r="I50" s="24">
        <f>'c-20'!G69</f>
        <v>171</v>
      </c>
      <c r="J50" s="117" t="s">
        <v>374</v>
      </c>
      <c r="K50" s="117" t="s">
        <v>374</v>
      </c>
      <c r="L50" s="117" t="s">
        <v>374</v>
      </c>
      <c r="M50" s="117" t="s">
        <v>374</v>
      </c>
      <c r="N50" s="118" t="s">
        <v>374</v>
      </c>
      <c r="O50" s="65" t="s">
        <v>374</v>
      </c>
      <c r="P50" s="65" t="s">
        <v>374</v>
      </c>
    </row>
    <row r="51" spans="1:20" ht="15.75" customHeight="1">
      <c r="A51" s="116" t="s">
        <v>881</v>
      </c>
      <c r="B51" s="26">
        <f t="shared" si="0"/>
        <v>2825</v>
      </c>
      <c r="C51" s="117" t="s">
        <v>374</v>
      </c>
      <c r="D51" s="117" t="s">
        <v>374</v>
      </c>
      <c r="E51" s="117" t="s">
        <v>374</v>
      </c>
      <c r="F51" s="117" t="s">
        <v>374</v>
      </c>
      <c r="G51" s="117" t="s">
        <v>374</v>
      </c>
      <c r="H51" s="118" t="s">
        <v>374</v>
      </c>
      <c r="I51" s="24">
        <f>'c-20'!G72</f>
        <v>2825</v>
      </c>
      <c r="J51" s="64" t="s">
        <v>374</v>
      </c>
      <c r="K51" s="117" t="s">
        <v>374</v>
      </c>
      <c r="L51" s="117" t="s">
        <v>374</v>
      </c>
      <c r="M51" s="117" t="s">
        <v>374</v>
      </c>
      <c r="N51" s="118" t="s">
        <v>374</v>
      </c>
      <c r="O51" s="65" t="s">
        <v>374</v>
      </c>
      <c r="P51" s="65" t="s">
        <v>374</v>
      </c>
    </row>
    <row r="52" spans="1:20" ht="15.75" customHeight="1">
      <c r="A52" s="116" t="s">
        <v>882</v>
      </c>
      <c r="B52" s="26">
        <f t="shared" si="0"/>
        <v>285</v>
      </c>
      <c r="C52" s="117" t="s">
        <v>374</v>
      </c>
      <c r="D52" s="117" t="s">
        <v>374</v>
      </c>
      <c r="E52" s="117" t="s">
        <v>374</v>
      </c>
      <c r="F52" s="117" t="s">
        <v>374</v>
      </c>
      <c r="G52" s="117" t="s">
        <v>374</v>
      </c>
      <c r="H52" s="64" t="s">
        <v>374</v>
      </c>
      <c r="I52" s="24">
        <f>'c-20'!G73</f>
        <v>285</v>
      </c>
      <c r="J52" s="64" t="s">
        <v>374</v>
      </c>
      <c r="K52" s="117" t="s">
        <v>374</v>
      </c>
      <c r="L52" s="117" t="s">
        <v>374</v>
      </c>
      <c r="M52" s="117" t="s">
        <v>374</v>
      </c>
      <c r="N52" s="118" t="s">
        <v>374</v>
      </c>
      <c r="O52" s="65" t="s">
        <v>374</v>
      </c>
      <c r="P52" s="65" t="s">
        <v>374</v>
      </c>
    </row>
    <row r="53" spans="1:20" ht="15.75" customHeight="1">
      <c r="A53" s="116" t="s">
        <v>883</v>
      </c>
      <c r="B53" s="26">
        <f t="shared" si="0"/>
        <v>1696</v>
      </c>
      <c r="C53" s="117" t="s">
        <v>374</v>
      </c>
      <c r="D53" s="117" t="s">
        <v>374</v>
      </c>
      <c r="E53" s="117" t="s">
        <v>374</v>
      </c>
      <c r="F53" s="117" t="s">
        <v>374</v>
      </c>
      <c r="G53" s="117" t="s">
        <v>374</v>
      </c>
      <c r="H53" s="64" t="s">
        <v>374</v>
      </c>
      <c r="I53" s="121">
        <f>'c-20'!G76</f>
        <v>1696</v>
      </c>
      <c r="J53" s="64" t="s">
        <v>374</v>
      </c>
      <c r="K53" s="117" t="s">
        <v>374</v>
      </c>
      <c r="L53" s="117" t="s">
        <v>374</v>
      </c>
      <c r="M53" s="117" t="s">
        <v>374</v>
      </c>
      <c r="N53" s="118" t="s">
        <v>374</v>
      </c>
      <c r="O53" s="65" t="s">
        <v>374</v>
      </c>
      <c r="P53" s="65" t="s">
        <v>374</v>
      </c>
    </row>
    <row r="54" spans="1:20" ht="15.75" customHeight="1">
      <c r="A54" s="116" t="s">
        <v>585</v>
      </c>
      <c r="B54" s="26">
        <f t="shared" si="0"/>
        <v>545</v>
      </c>
      <c r="C54" s="117" t="s">
        <v>374</v>
      </c>
      <c r="D54" s="117" t="s">
        <v>374</v>
      </c>
      <c r="E54" s="117" t="s">
        <v>374</v>
      </c>
      <c r="F54" s="117" t="s">
        <v>374</v>
      </c>
      <c r="G54" s="117" t="s">
        <v>374</v>
      </c>
      <c r="H54" s="64" t="s">
        <v>374</v>
      </c>
      <c r="I54" s="121">
        <f>'c-20'!G77</f>
        <v>545</v>
      </c>
      <c r="J54" s="64" t="s">
        <v>374</v>
      </c>
      <c r="K54" s="117" t="s">
        <v>374</v>
      </c>
      <c r="L54" s="117" t="s">
        <v>374</v>
      </c>
      <c r="M54" s="117" t="s">
        <v>374</v>
      </c>
      <c r="N54" s="118" t="s">
        <v>374</v>
      </c>
      <c r="O54" s="65" t="s">
        <v>374</v>
      </c>
      <c r="P54" s="65" t="s">
        <v>374</v>
      </c>
    </row>
    <row r="55" spans="1:20" ht="15.75" customHeight="1">
      <c r="A55" s="116" t="s">
        <v>884</v>
      </c>
      <c r="B55" s="26">
        <f t="shared" si="0"/>
        <v>136</v>
      </c>
      <c r="C55" s="117" t="s">
        <v>374</v>
      </c>
      <c r="D55" s="117" t="s">
        <v>374</v>
      </c>
      <c r="E55" s="117" t="s">
        <v>374</v>
      </c>
      <c r="F55" s="117" t="s">
        <v>374</v>
      </c>
      <c r="G55" s="117" t="s">
        <v>374</v>
      </c>
      <c r="H55" s="64" t="s">
        <v>374</v>
      </c>
      <c r="I55" s="121">
        <f>'c-20'!G78</f>
        <v>136</v>
      </c>
      <c r="J55" s="64" t="s">
        <v>374</v>
      </c>
      <c r="K55" s="117" t="s">
        <v>374</v>
      </c>
      <c r="L55" s="117" t="s">
        <v>374</v>
      </c>
      <c r="M55" s="117" t="s">
        <v>374</v>
      </c>
      <c r="N55" s="118" t="s">
        <v>374</v>
      </c>
      <c r="O55" s="65" t="s">
        <v>374</v>
      </c>
      <c r="P55" s="65" t="s">
        <v>374</v>
      </c>
      <c r="S55" s="91"/>
      <c r="T55" s="91"/>
    </row>
    <row r="56" spans="1:20" ht="15.75" customHeight="1">
      <c r="A56" s="113"/>
      <c r="B56" s="26"/>
      <c r="C56" s="51"/>
      <c r="D56" s="51"/>
      <c r="E56" s="51"/>
      <c r="F56" s="51"/>
      <c r="G56" s="51"/>
      <c r="H56" s="26"/>
      <c r="I56" s="51"/>
      <c r="J56" s="117"/>
      <c r="K56" s="117"/>
      <c r="L56" s="117"/>
      <c r="M56" s="117"/>
      <c r="N56" s="118"/>
      <c r="O56" s="19"/>
      <c r="P56" s="19"/>
    </row>
    <row r="57" spans="1:20" s="91" customFormat="1" ht="15.75" customHeight="1">
      <c r="A57" s="106" t="s">
        <v>586</v>
      </c>
      <c r="B57" s="107"/>
      <c r="C57" s="114"/>
      <c r="D57" s="114"/>
      <c r="E57" s="114"/>
      <c r="F57" s="114"/>
      <c r="G57" s="114"/>
      <c r="H57" s="107"/>
      <c r="I57" s="114"/>
      <c r="J57" s="114"/>
      <c r="K57" s="114"/>
      <c r="L57" s="117"/>
      <c r="M57" s="114"/>
      <c r="N57" s="115"/>
      <c r="O57" s="19"/>
      <c r="P57" s="19"/>
      <c r="S57" s="35"/>
      <c r="T57" s="35"/>
    </row>
    <row r="58" spans="1:20" s="91" customFormat="1" ht="15.75" customHeight="1">
      <c r="A58" s="106"/>
      <c r="B58" s="107"/>
      <c r="C58" s="114"/>
      <c r="D58" s="114"/>
      <c r="E58" s="114"/>
      <c r="F58" s="114"/>
      <c r="G58" s="114"/>
      <c r="H58" s="107"/>
      <c r="I58" s="114"/>
      <c r="J58" s="114"/>
      <c r="K58" s="114"/>
      <c r="L58" s="117"/>
      <c r="M58" s="114"/>
      <c r="N58" s="115"/>
      <c r="O58" s="19"/>
      <c r="P58" s="19"/>
      <c r="S58" s="35"/>
      <c r="T58" s="35"/>
    </row>
    <row r="59" spans="1:20" s="91" customFormat="1" ht="15.75" customHeight="1">
      <c r="A59" s="106" t="s">
        <v>587</v>
      </c>
      <c r="B59" s="97">
        <f>SUM(B61:B72)</f>
        <v>16874</v>
      </c>
      <c r="C59" s="97">
        <f>SUM(C61:C72)</f>
        <v>16422</v>
      </c>
      <c r="D59" s="97" t="s">
        <v>374</v>
      </c>
      <c r="E59" s="97" t="s">
        <v>374</v>
      </c>
      <c r="F59" s="97" t="s">
        <v>374</v>
      </c>
      <c r="G59" s="97">
        <f>SUM(G61:G72)</f>
        <v>452</v>
      </c>
      <c r="H59" s="62" t="s">
        <v>374</v>
      </c>
      <c r="I59" s="97" t="s">
        <v>374</v>
      </c>
      <c r="J59" s="97" t="s">
        <v>374</v>
      </c>
      <c r="K59" s="97" t="s">
        <v>374</v>
      </c>
      <c r="L59" s="97" t="s">
        <v>374</v>
      </c>
      <c r="M59" s="97" t="s">
        <v>374</v>
      </c>
      <c r="N59" s="98" t="s">
        <v>374</v>
      </c>
      <c r="O59" s="112" t="s">
        <v>374</v>
      </c>
      <c r="P59" s="112" t="s">
        <v>374</v>
      </c>
      <c r="S59" s="35"/>
      <c r="T59" s="35"/>
    </row>
    <row r="60" spans="1:20" ht="15.75" customHeight="1">
      <c r="A60" s="120"/>
      <c r="B60" s="64"/>
      <c r="C60" s="117"/>
      <c r="D60" s="118"/>
      <c r="E60" s="26"/>
      <c r="F60" s="51"/>
      <c r="G60" s="51"/>
      <c r="H60" s="51"/>
      <c r="I60" s="51"/>
      <c r="J60" s="51"/>
      <c r="K60" s="51"/>
      <c r="L60" s="117"/>
      <c r="M60" s="51"/>
      <c r="N60" s="118"/>
      <c r="O60" s="65"/>
      <c r="P60" s="65"/>
    </row>
    <row r="61" spans="1:20" ht="15.75" customHeight="1">
      <c r="A61" s="120" t="s">
        <v>465</v>
      </c>
      <c r="B61" s="26">
        <f t="shared" ref="B61:B72" si="1">SUM(C61:P61)</f>
        <v>1427</v>
      </c>
      <c r="C61" s="117">
        <f>'c-10'!G12</f>
        <v>1427</v>
      </c>
      <c r="D61" s="141" t="s">
        <v>374</v>
      </c>
      <c r="E61" s="64" t="s">
        <v>374</v>
      </c>
      <c r="F61" s="117" t="s">
        <v>374</v>
      </c>
      <c r="G61" s="117" t="s">
        <v>374</v>
      </c>
      <c r="H61" s="117" t="s">
        <v>374</v>
      </c>
      <c r="I61" s="117" t="s">
        <v>374</v>
      </c>
      <c r="J61" s="117" t="s">
        <v>374</v>
      </c>
      <c r="K61" s="117" t="s">
        <v>374</v>
      </c>
      <c r="L61" s="117" t="s">
        <v>374</v>
      </c>
      <c r="M61" s="117" t="s">
        <v>374</v>
      </c>
      <c r="N61" s="118" t="s">
        <v>374</v>
      </c>
      <c r="O61" s="65" t="s">
        <v>374</v>
      </c>
      <c r="P61" s="65" t="s">
        <v>374</v>
      </c>
    </row>
    <row r="62" spans="1:20" ht="15.75" customHeight="1">
      <c r="A62" s="120" t="s">
        <v>445</v>
      </c>
      <c r="B62" s="26">
        <f t="shared" si="1"/>
        <v>2442</v>
      </c>
      <c r="C62" s="117">
        <f>'c-10'!G13</f>
        <v>2442</v>
      </c>
      <c r="D62" s="141" t="s">
        <v>374</v>
      </c>
      <c r="E62" s="64" t="s">
        <v>374</v>
      </c>
      <c r="F62" s="117" t="s">
        <v>374</v>
      </c>
      <c r="G62" s="117" t="s">
        <v>374</v>
      </c>
      <c r="H62" s="117" t="s">
        <v>374</v>
      </c>
      <c r="I62" s="117" t="s">
        <v>374</v>
      </c>
      <c r="J62" s="117" t="s">
        <v>374</v>
      </c>
      <c r="K62" s="117" t="s">
        <v>374</v>
      </c>
      <c r="L62" s="117" t="s">
        <v>374</v>
      </c>
      <c r="M62" s="117" t="s">
        <v>374</v>
      </c>
      <c r="N62" s="118" t="s">
        <v>374</v>
      </c>
      <c r="O62" s="65" t="s">
        <v>374</v>
      </c>
      <c r="P62" s="65" t="s">
        <v>374</v>
      </c>
    </row>
    <row r="63" spans="1:20" ht="15.75" customHeight="1">
      <c r="A63" s="120" t="s">
        <v>446</v>
      </c>
      <c r="B63" s="26">
        <f t="shared" si="1"/>
        <v>1557</v>
      </c>
      <c r="C63" s="117">
        <f>'c-10'!G14</f>
        <v>1557</v>
      </c>
      <c r="D63" s="141" t="s">
        <v>374</v>
      </c>
      <c r="E63" s="64" t="s">
        <v>374</v>
      </c>
      <c r="F63" s="117" t="s">
        <v>374</v>
      </c>
      <c r="G63" s="117" t="s">
        <v>374</v>
      </c>
      <c r="H63" s="117" t="s">
        <v>374</v>
      </c>
      <c r="I63" s="117" t="s">
        <v>374</v>
      </c>
      <c r="J63" s="117" t="s">
        <v>374</v>
      </c>
      <c r="K63" s="117" t="s">
        <v>374</v>
      </c>
      <c r="L63" s="117" t="s">
        <v>374</v>
      </c>
      <c r="M63" s="117" t="s">
        <v>374</v>
      </c>
      <c r="N63" s="118" t="s">
        <v>374</v>
      </c>
      <c r="O63" s="65" t="s">
        <v>374</v>
      </c>
      <c r="P63" s="65" t="s">
        <v>374</v>
      </c>
    </row>
    <row r="64" spans="1:20" ht="15.75" customHeight="1">
      <c r="A64" s="120" t="s">
        <v>447</v>
      </c>
      <c r="B64" s="26">
        <f t="shared" si="1"/>
        <v>2017</v>
      </c>
      <c r="C64" s="117">
        <f>'c-10'!G15</f>
        <v>2017</v>
      </c>
      <c r="D64" s="141" t="s">
        <v>374</v>
      </c>
      <c r="E64" s="64" t="s">
        <v>374</v>
      </c>
      <c r="F64" s="117" t="s">
        <v>374</v>
      </c>
      <c r="G64" s="117" t="s">
        <v>374</v>
      </c>
      <c r="H64" s="117" t="s">
        <v>374</v>
      </c>
      <c r="I64" s="117" t="s">
        <v>374</v>
      </c>
      <c r="J64" s="117" t="s">
        <v>374</v>
      </c>
      <c r="K64" s="117" t="s">
        <v>374</v>
      </c>
      <c r="L64" s="117" t="s">
        <v>374</v>
      </c>
      <c r="M64" s="117" t="s">
        <v>374</v>
      </c>
      <c r="N64" s="118" t="s">
        <v>374</v>
      </c>
      <c r="O64" s="65" t="s">
        <v>374</v>
      </c>
      <c r="P64" s="65" t="s">
        <v>374</v>
      </c>
    </row>
    <row r="65" spans="1:20" ht="15.75" customHeight="1">
      <c r="A65" s="120" t="s">
        <v>448</v>
      </c>
      <c r="B65" s="26">
        <f t="shared" si="1"/>
        <v>1533</v>
      </c>
      <c r="C65" s="24">
        <f>'c-10'!G28</f>
        <v>1533</v>
      </c>
      <c r="D65" s="141" t="s">
        <v>374</v>
      </c>
      <c r="E65" s="64" t="s">
        <v>374</v>
      </c>
      <c r="F65" s="117" t="s">
        <v>374</v>
      </c>
      <c r="G65" s="24" t="s">
        <v>374</v>
      </c>
      <c r="H65" s="117" t="s">
        <v>374</v>
      </c>
      <c r="I65" s="117" t="s">
        <v>374</v>
      </c>
      <c r="J65" s="117" t="s">
        <v>374</v>
      </c>
      <c r="K65" s="117" t="s">
        <v>374</v>
      </c>
      <c r="L65" s="117" t="s">
        <v>374</v>
      </c>
      <c r="M65" s="117" t="s">
        <v>374</v>
      </c>
      <c r="N65" s="118" t="s">
        <v>374</v>
      </c>
      <c r="O65" s="65" t="s">
        <v>374</v>
      </c>
      <c r="P65" s="65" t="s">
        <v>374</v>
      </c>
    </row>
    <row r="66" spans="1:20" ht="15.75" customHeight="1">
      <c r="A66" s="120" t="s">
        <v>449</v>
      </c>
      <c r="B66" s="26">
        <f t="shared" si="1"/>
        <v>132</v>
      </c>
      <c r="C66" s="24">
        <f>'c-10'!G17</f>
        <v>132</v>
      </c>
      <c r="D66" s="141" t="s">
        <v>374</v>
      </c>
      <c r="E66" s="64" t="s">
        <v>374</v>
      </c>
      <c r="F66" s="117" t="s">
        <v>374</v>
      </c>
      <c r="G66" s="117" t="s">
        <v>374</v>
      </c>
      <c r="H66" s="117" t="s">
        <v>374</v>
      </c>
      <c r="I66" s="117" t="s">
        <v>374</v>
      </c>
      <c r="J66" s="117" t="s">
        <v>374</v>
      </c>
      <c r="K66" s="117" t="s">
        <v>374</v>
      </c>
      <c r="L66" s="117" t="s">
        <v>374</v>
      </c>
      <c r="M66" s="117" t="s">
        <v>374</v>
      </c>
      <c r="N66" s="118" t="s">
        <v>374</v>
      </c>
      <c r="O66" s="65" t="s">
        <v>374</v>
      </c>
      <c r="P66" s="65" t="s">
        <v>374</v>
      </c>
    </row>
    <row r="67" spans="1:20" ht="15.75" customHeight="1">
      <c r="A67" s="120" t="s">
        <v>450</v>
      </c>
      <c r="B67" s="26">
        <f t="shared" si="1"/>
        <v>1419</v>
      </c>
      <c r="C67" s="24">
        <f>'c-10'!G42</f>
        <v>1419</v>
      </c>
      <c r="D67" s="141" t="s">
        <v>374</v>
      </c>
      <c r="E67" s="64" t="s">
        <v>374</v>
      </c>
      <c r="F67" s="117" t="s">
        <v>374</v>
      </c>
      <c r="G67" s="117" t="s">
        <v>374</v>
      </c>
      <c r="H67" s="117" t="s">
        <v>374</v>
      </c>
      <c r="I67" s="117" t="s">
        <v>374</v>
      </c>
      <c r="J67" s="117" t="s">
        <v>374</v>
      </c>
      <c r="K67" s="117" t="s">
        <v>374</v>
      </c>
      <c r="L67" s="117" t="s">
        <v>374</v>
      </c>
      <c r="M67" s="117" t="s">
        <v>374</v>
      </c>
      <c r="N67" s="118" t="s">
        <v>374</v>
      </c>
      <c r="O67" s="65" t="s">
        <v>374</v>
      </c>
      <c r="P67" s="65" t="s">
        <v>374</v>
      </c>
    </row>
    <row r="68" spans="1:20" ht="15.75" customHeight="1">
      <c r="A68" s="120" t="s">
        <v>451</v>
      </c>
      <c r="B68" s="26">
        <f t="shared" si="1"/>
        <v>1808</v>
      </c>
      <c r="C68" s="24">
        <f>'c-10'!G69</f>
        <v>1808</v>
      </c>
      <c r="D68" s="141" t="s">
        <v>374</v>
      </c>
      <c r="E68" s="64" t="s">
        <v>374</v>
      </c>
      <c r="F68" s="117" t="s">
        <v>374</v>
      </c>
      <c r="G68" s="24" t="s">
        <v>374</v>
      </c>
      <c r="H68" s="117" t="s">
        <v>374</v>
      </c>
      <c r="I68" s="117" t="s">
        <v>374</v>
      </c>
      <c r="J68" s="117" t="s">
        <v>374</v>
      </c>
      <c r="K68" s="117" t="s">
        <v>374</v>
      </c>
      <c r="L68" s="117" t="s">
        <v>374</v>
      </c>
      <c r="M68" s="117" t="s">
        <v>374</v>
      </c>
      <c r="N68" s="118" t="s">
        <v>374</v>
      </c>
      <c r="O68" s="65" t="s">
        <v>374</v>
      </c>
      <c r="P68" s="65" t="s">
        <v>374</v>
      </c>
    </row>
    <row r="69" spans="1:20" ht="15.75" customHeight="1">
      <c r="A69" s="120" t="s">
        <v>452</v>
      </c>
      <c r="B69" s="26">
        <f t="shared" si="1"/>
        <v>1717</v>
      </c>
      <c r="C69" s="24">
        <f>'c-10'!G80</f>
        <v>1717</v>
      </c>
      <c r="D69" s="141" t="s">
        <v>374</v>
      </c>
      <c r="E69" s="64" t="s">
        <v>374</v>
      </c>
      <c r="F69" s="117" t="s">
        <v>374</v>
      </c>
      <c r="G69" s="64" t="s">
        <v>374</v>
      </c>
      <c r="H69" s="117" t="s">
        <v>374</v>
      </c>
      <c r="I69" s="117" t="s">
        <v>374</v>
      </c>
      <c r="J69" s="117" t="s">
        <v>374</v>
      </c>
      <c r="K69" s="117" t="s">
        <v>374</v>
      </c>
      <c r="L69" s="117" t="s">
        <v>374</v>
      </c>
      <c r="M69" s="117" t="s">
        <v>374</v>
      </c>
      <c r="N69" s="118" t="s">
        <v>374</v>
      </c>
      <c r="O69" s="65" t="s">
        <v>374</v>
      </c>
      <c r="P69" s="65" t="s">
        <v>374</v>
      </c>
    </row>
    <row r="70" spans="1:20" ht="15.75" customHeight="1">
      <c r="A70" s="120" t="s">
        <v>453</v>
      </c>
      <c r="B70" s="26">
        <f t="shared" si="1"/>
        <v>1438</v>
      </c>
      <c r="C70" s="24">
        <f>'c-10'!G109</f>
        <v>986</v>
      </c>
      <c r="D70" s="141" t="s">
        <v>374</v>
      </c>
      <c r="E70" s="64" t="s">
        <v>374</v>
      </c>
      <c r="F70" s="117" t="s">
        <v>374</v>
      </c>
      <c r="G70" s="24">
        <f>'c-12'!H35</f>
        <v>452</v>
      </c>
      <c r="H70" s="117" t="s">
        <v>374</v>
      </c>
      <c r="I70" s="117" t="s">
        <v>374</v>
      </c>
      <c r="J70" s="117" t="s">
        <v>374</v>
      </c>
      <c r="K70" s="117" t="s">
        <v>374</v>
      </c>
      <c r="L70" s="117" t="s">
        <v>374</v>
      </c>
      <c r="M70" s="117" t="s">
        <v>374</v>
      </c>
      <c r="N70" s="118" t="s">
        <v>374</v>
      </c>
      <c r="O70" s="65" t="s">
        <v>374</v>
      </c>
      <c r="P70" s="65" t="s">
        <v>374</v>
      </c>
    </row>
    <row r="71" spans="1:20" ht="15.75" customHeight="1">
      <c r="A71" s="120" t="s">
        <v>454</v>
      </c>
      <c r="B71" s="26">
        <f t="shared" si="1"/>
        <v>617</v>
      </c>
      <c r="C71" s="24">
        <f>'c-10'!G137</f>
        <v>617</v>
      </c>
      <c r="D71" s="141" t="s">
        <v>374</v>
      </c>
      <c r="E71" s="64" t="s">
        <v>374</v>
      </c>
      <c r="F71" s="117" t="s">
        <v>374</v>
      </c>
      <c r="G71" s="117" t="s">
        <v>374</v>
      </c>
      <c r="H71" s="117" t="s">
        <v>374</v>
      </c>
      <c r="I71" s="117" t="s">
        <v>374</v>
      </c>
      <c r="J71" s="117" t="s">
        <v>374</v>
      </c>
      <c r="K71" s="117" t="s">
        <v>374</v>
      </c>
      <c r="L71" s="117" t="s">
        <v>374</v>
      </c>
      <c r="M71" s="117" t="s">
        <v>374</v>
      </c>
      <c r="N71" s="118" t="s">
        <v>374</v>
      </c>
      <c r="O71" s="65" t="s">
        <v>374</v>
      </c>
      <c r="P71" s="65" t="s">
        <v>374</v>
      </c>
    </row>
    <row r="72" spans="1:20" s="91" customFormat="1" ht="15.75" customHeight="1">
      <c r="A72" s="120" t="s">
        <v>455</v>
      </c>
      <c r="B72" s="26">
        <f t="shared" si="1"/>
        <v>767</v>
      </c>
      <c r="C72" s="24">
        <f>'c-10'!G143</f>
        <v>767</v>
      </c>
      <c r="D72" s="141" t="s">
        <v>374</v>
      </c>
      <c r="E72" s="64" t="s">
        <v>374</v>
      </c>
      <c r="F72" s="117" t="s">
        <v>374</v>
      </c>
      <c r="G72" s="117" t="s">
        <v>374</v>
      </c>
      <c r="H72" s="117" t="s">
        <v>374</v>
      </c>
      <c r="I72" s="117" t="s">
        <v>374</v>
      </c>
      <c r="J72" s="117" t="s">
        <v>374</v>
      </c>
      <c r="K72" s="117" t="s">
        <v>374</v>
      </c>
      <c r="L72" s="117" t="s">
        <v>374</v>
      </c>
      <c r="M72" s="117" t="s">
        <v>374</v>
      </c>
      <c r="N72" s="118" t="s">
        <v>374</v>
      </c>
      <c r="O72" s="65" t="s">
        <v>374</v>
      </c>
      <c r="P72" s="65" t="s">
        <v>374</v>
      </c>
      <c r="S72" s="35"/>
      <c r="T72" s="35"/>
    </row>
    <row r="73" spans="1:20" ht="15.75" customHeight="1">
      <c r="A73" s="113"/>
      <c r="B73" s="26"/>
      <c r="C73" s="26"/>
      <c r="D73" s="21"/>
      <c r="E73" s="26"/>
      <c r="F73" s="51"/>
      <c r="G73" s="51"/>
      <c r="H73" s="51"/>
      <c r="I73" s="51"/>
      <c r="J73" s="51"/>
      <c r="K73" s="51"/>
      <c r="L73" s="117"/>
      <c r="M73" s="51"/>
      <c r="N73" s="21"/>
      <c r="O73" s="65"/>
      <c r="P73" s="65"/>
    </row>
    <row r="74" spans="1:20" ht="15.75" customHeight="1">
      <c r="A74" s="106" t="s">
        <v>225</v>
      </c>
      <c r="B74" s="62">
        <f>SUM(B76:B79)</f>
        <v>292062</v>
      </c>
      <c r="C74" s="62" t="s">
        <v>374</v>
      </c>
      <c r="D74" s="63">
        <f>SUM(D76:D79)</f>
        <v>292062</v>
      </c>
      <c r="E74" s="64" t="s">
        <v>374</v>
      </c>
      <c r="F74" s="97" t="s">
        <v>374</v>
      </c>
      <c r="G74" s="97" t="s">
        <v>374</v>
      </c>
      <c r="H74" s="97" t="s">
        <v>374</v>
      </c>
      <c r="I74" s="97" t="s">
        <v>374</v>
      </c>
      <c r="J74" s="97" t="s">
        <v>374</v>
      </c>
      <c r="K74" s="97" t="s">
        <v>374</v>
      </c>
      <c r="L74" s="97" t="s">
        <v>374</v>
      </c>
      <c r="M74" s="97" t="s">
        <v>374</v>
      </c>
      <c r="N74" s="98" t="s">
        <v>374</v>
      </c>
      <c r="O74" s="112" t="s">
        <v>374</v>
      </c>
      <c r="P74" s="112" t="s">
        <v>374</v>
      </c>
    </row>
    <row r="75" spans="1:20" ht="15.75" customHeight="1">
      <c r="A75" s="113"/>
      <c r="B75" s="26"/>
      <c r="C75" s="26"/>
      <c r="D75" s="51"/>
      <c r="E75" s="51"/>
      <c r="F75" s="51"/>
      <c r="G75" s="51"/>
      <c r="H75" s="51"/>
      <c r="I75" s="51"/>
      <c r="J75" s="51"/>
      <c r="K75" s="51"/>
      <c r="L75" s="117"/>
      <c r="M75" s="51"/>
      <c r="N75" s="21"/>
      <c r="O75" s="65"/>
      <c r="P75" s="65"/>
    </row>
    <row r="76" spans="1:20" ht="15.75" customHeight="1">
      <c r="A76" s="120" t="s">
        <v>456</v>
      </c>
      <c r="B76" s="26">
        <f>SUM(C76:P76)</f>
        <v>61825</v>
      </c>
      <c r="C76" s="24" t="s">
        <v>374</v>
      </c>
      <c r="D76" s="121">
        <f>'c-11'!G12</f>
        <v>61825</v>
      </c>
      <c r="E76" s="117" t="s">
        <v>374</v>
      </c>
      <c r="F76" s="117" t="s">
        <v>374</v>
      </c>
      <c r="G76" s="117" t="s">
        <v>374</v>
      </c>
      <c r="H76" s="117" t="s">
        <v>374</v>
      </c>
      <c r="I76" s="117" t="s">
        <v>374</v>
      </c>
      <c r="J76" s="117" t="s">
        <v>374</v>
      </c>
      <c r="K76" s="117" t="s">
        <v>374</v>
      </c>
      <c r="L76" s="117" t="s">
        <v>374</v>
      </c>
      <c r="M76" s="117" t="s">
        <v>374</v>
      </c>
      <c r="N76" s="118" t="s">
        <v>374</v>
      </c>
      <c r="O76" s="65" t="s">
        <v>374</v>
      </c>
      <c r="P76" s="65" t="s">
        <v>374</v>
      </c>
    </row>
    <row r="77" spans="1:20" ht="15.75" customHeight="1">
      <c r="A77" s="120" t="s">
        <v>457</v>
      </c>
      <c r="B77" s="26">
        <f>SUM(C77:P77)</f>
        <v>60021</v>
      </c>
      <c r="C77" s="117" t="s">
        <v>374</v>
      </c>
      <c r="D77" s="121">
        <f>'c-11'!G13</f>
        <v>60021</v>
      </c>
      <c r="E77" s="117" t="s">
        <v>374</v>
      </c>
      <c r="F77" s="117" t="s">
        <v>374</v>
      </c>
      <c r="G77" s="117" t="s">
        <v>374</v>
      </c>
      <c r="H77" s="117" t="s">
        <v>374</v>
      </c>
      <c r="I77" s="117" t="s">
        <v>374</v>
      </c>
      <c r="J77" s="117" t="s">
        <v>374</v>
      </c>
      <c r="K77" s="117" t="s">
        <v>374</v>
      </c>
      <c r="L77" s="117" t="s">
        <v>374</v>
      </c>
      <c r="M77" s="117" t="s">
        <v>374</v>
      </c>
      <c r="N77" s="118" t="s">
        <v>374</v>
      </c>
      <c r="O77" s="65" t="s">
        <v>374</v>
      </c>
      <c r="P77" s="65" t="s">
        <v>374</v>
      </c>
    </row>
    <row r="78" spans="1:20" ht="15.75" customHeight="1">
      <c r="A78" s="120" t="s">
        <v>1016</v>
      </c>
      <c r="B78" s="26">
        <f>SUM(C78:P78)</f>
        <v>55884</v>
      </c>
      <c r="C78" s="117" t="s">
        <v>374</v>
      </c>
      <c r="D78" s="121">
        <f>'c-11'!G14</f>
        <v>55884</v>
      </c>
      <c r="E78" s="117" t="s">
        <v>374</v>
      </c>
      <c r="F78" s="117" t="s">
        <v>374</v>
      </c>
      <c r="G78" s="117" t="s">
        <v>374</v>
      </c>
      <c r="H78" s="117" t="s">
        <v>374</v>
      </c>
      <c r="I78" s="117" t="s">
        <v>374</v>
      </c>
      <c r="J78" s="117" t="s">
        <v>374</v>
      </c>
      <c r="K78" s="117" t="s">
        <v>374</v>
      </c>
      <c r="L78" s="117" t="s">
        <v>374</v>
      </c>
      <c r="M78" s="117" t="s">
        <v>374</v>
      </c>
      <c r="N78" s="118" t="s">
        <v>374</v>
      </c>
      <c r="O78" s="417" t="s">
        <v>374</v>
      </c>
      <c r="P78" s="21" t="s">
        <v>374</v>
      </c>
    </row>
    <row r="79" spans="1:20" ht="15.75" customHeight="1">
      <c r="A79" s="120" t="s">
        <v>458</v>
      </c>
      <c r="B79" s="26">
        <f>SUM(C79:P79)</f>
        <v>114332</v>
      </c>
      <c r="C79" s="117" t="s">
        <v>374</v>
      </c>
      <c r="D79" s="117">
        <f>'c-11'!G17</f>
        <v>114332</v>
      </c>
      <c r="E79" s="117" t="s">
        <v>374</v>
      </c>
      <c r="F79" s="117" t="s">
        <v>374</v>
      </c>
      <c r="G79" s="117" t="s">
        <v>374</v>
      </c>
      <c r="H79" s="117" t="s">
        <v>374</v>
      </c>
      <c r="I79" s="117" t="s">
        <v>374</v>
      </c>
      <c r="J79" s="117" t="s">
        <v>374</v>
      </c>
      <c r="K79" s="117" t="s">
        <v>374</v>
      </c>
      <c r="L79" s="117" t="s">
        <v>374</v>
      </c>
      <c r="M79" s="117" t="s">
        <v>374</v>
      </c>
      <c r="N79" s="117" t="s">
        <v>374</v>
      </c>
      <c r="O79" s="117" t="s">
        <v>374</v>
      </c>
      <c r="P79" s="118" t="s">
        <v>374</v>
      </c>
    </row>
    <row r="80" spans="1:20" ht="15.75" customHeight="1">
      <c r="A80" s="113"/>
      <c r="B80" s="26"/>
      <c r="C80" s="26"/>
      <c r="D80" s="51"/>
      <c r="E80" s="51"/>
      <c r="F80" s="51"/>
      <c r="G80" s="51"/>
      <c r="H80" s="51"/>
      <c r="I80" s="51"/>
      <c r="J80" s="51"/>
      <c r="K80" s="51"/>
      <c r="L80" s="117"/>
      <c r="M80" s="51"/>
      <c r="N80" s="21"/>
      <c r="O80" s="65"/>
      <c r="P80" s="65"/>
    </row>
    <row r="81" spans="1:20" ht="15.75" customHeight="1">
      <c r="A81" s="106" t="s">
        <v>459</v>
      </c>
      <c r="B81" s="62">
        <f>SUM(B83:B85)</f>
        <v>18232</v>
      </c>
      <c r="C81" s="62" t="s">
        <v>374</v>
      </c>
      <c r="D81" s="62" t="s">
        <v>374</v>
      </c>
      <c r="E81" s="122">
        <f>SUM(E83:E85)</f>
        <v>18232</v>
      </c>
      <c r="F81" s="97" t="s">
        <v>374</v>
      </c>
      <c r="G81" s="97" t="s">
        <v>374</v>
      </c>
      <c r="H81" s="97" t="s">
        <v>374</v>
      </c>
      <c r="I81" s="97" t="s">
        <v>374</v>
      </c>
      <c r="J81" s="97" t="s">
        <v>374</v>
      </c>
      <c r="K81" s="97" t="s">
        <v>374</v>
      </c>
      <c r="L81" s="97" t="s">
        <v>374</v>
      </c>
      <c r="M81" s="97" t="s">
        <v>374</v>
      </c>
      <c r="N81" s="98" t="s">
        <v>374</v>
      </c>
      <c r="O81" s="112" t="s">
        <v>374</v>
      </c>
      <c r="P81" s="112" t="s">
        <v>374</v>
      </c>
    </row>
    <row r="82" spans="1:20" ht="15.75" customHeight="1">
      <c r="A82" s="120"/>
      <c r="B82" s="64"/>
      <c r="C82" s="26"/>
      <c r="D82" s="51"/>
      <c r="E82" s="117"/>
      <c r="F82" s="51"/>
      <c r="G82" s="51"/>
      <c r="H82" s="51"/>
      <c r="I82" s="51"/>
      <c r="J82" s="51"/>
      <c r="K82" s="51"/>
      <c r="L82" s="117"/>
      <c r="M82" s="51"/>
      <c r="N82" s="21"/>
      <c r="O82" s="65"/>
      <c r="P82" s="65"/>
    </row>
    <row r="83" spans="1:20" ht="15.75" customHeight="1">
      <c r="A83" s="120" t="s">
        <v>460</v>
      </c>
      <c r="B83" s="26">
        <f>SUM(C83:P83)</f>
        <v>210</v>
      </c>
      <c r="C83" s="64" t="s">
        <v>374</v>
      </c>
      <c r="D83" s="64" t="s">
        <v>374</v>
      </c>
      <c r="E83" s="24">
        <f>'c-13'!H11</f>
        <v>210</v>
      </c>
      <c r="F83" s="117" t="s">
        <v>374</v>
      </c>
      <c r="G83" s="117" t="s">
        <v>374</v>
      </c>
      <c r="H83" s="117" t="s">
        <v>374</v>
      </c>
      <c r="I83" s="117" t="s">
        <v>374</v>
      </c>
      <c r="J83" s="117" t="s">
        <v>374</v>
      </c>
      <c r="K83" s="117" t="s">
        <v>374</v>
      </c>
      <c r="L83" s="117" t="s">
        <v>374</v>
      </c>
      <c r="M83" s="117" t="s">
        <v>374</v>
      </c>
      <c r="N83" s="118" t="s">
        <v>374</v>
      </c>
      <c r="O83" s="65" t="s">
        <v>374</v>
      </c>
      <c r="P83" s="65" t="s">
        <v>374</v>
      </c>
      <c r="S83" s="91"/>
      <c r="T83" s="91"/>
    </row>
    <row r="84" spans="1:20" ht="15.75" customHeight="1">
      <c r="A84" s="120" t="s">
        <v>461</v>
      </c>
      <c r="B84" s="26">
        <f>SUM(C84:P84)</f>
        <v>3590</v>
      </c>
      <c r="C84" s="64" t="s">
        <v>374</v>
      </c>
      <c r="D84" s="64" t="s">
        <v>374</v>
      </c>
      <c r="E84" s="24">
        <f>'c-13'!H13</f>
        <v>3590</v>
      </c>
      <c r="F84" s="117" t="s">
        <v>374</v>
      </c>
      <c r="G84" s="117" t="s">
        <v>374</v>
      </c>
      <c r="H84" s="117" t="s">
        <v>374</v>
      </c>
      <c r="I84" s="117" t="s">
        <v>374</v>
      </c>
      <c r="J84" s="117" t="s">
        <v>374</v>
      </c>
      <c r="K84" s="117" t="s">
        <v>374</v>
      </c>
      <c r="L84" s="117" t="s">
        <v>374</v>
      </c>
      <c r="M84" s="117" t="s">
        <v>374</v>
      </c>
      <c r="N84" s="118" t="s">
        <v>374</v>
      </c>
      <c r="O84" s="65" t="s">
        <v>374</v>
      </c>
      <c r="P84" s="65" t="s">
        <v>374</v>
      </c>
    </row>
    <row r="85" spans="1:20" ht="15.75" customHeight="1">
      <c r="A85" s="120" t="s">
        <v>462</v>
      </c>
      <c r="B85" s="26">
        <f>SUM(C85:P85)</f>
        <v>14432</v>
      </c>
      <c r="C85" s="64" t="s">
        <v>374</v>
      </c>
      <c r="D85" s="64" t="s">
        <v>374</v>
      </c>
      <c r="E85" s="24">
        <f>'c-13'!H15</f>
        <v>14432</v>
      </c>
      <c r="F85" s="117" t="s">
        <v>374</v>
      </c>
      <c r="G85" s="117" t="s">
        <v>374</v>
      </c>
      <c r="H85" s="117" t="s">
        <v>374</v>
      </c>
      <c r="I85" s="117" t="s">
        <v>374</v>
      </c>
      <c r="J85" s="117" t="s">
        <v>374</v>
      </c>
      <c r="K85" s="117" t="s">
        <v>374</v>
      </c>
      <c r="L85" s="117" t="s">
        <v>374</v>
      </c>
      <c r="M85" s="117" t="s">
        <v>374</v>
      </c>
      <c r="N85" s="118" t="s">
        <v>374</v>
      </c>
      <c r="O85" s="65" t="s">
        <v>374</v>
      </c>
      <c r="P85" s="65" t="s">
        <v>374</v>
      </c>
      <c r="S85" s="123"/>
      <c r="T85" s="123"/>
    </row>
    <row r="86" spans="1:20" ht="15.75" customHeight="1">
      <c r="A86" s="113"/>
      <c r="B86" s="26"/>
      <c r="C86" s="51"/>
      <c r="D86" s="51"/>
      <c r="E86" s="51"/>
      <c r="F86" s="51"/>
      <c r="G86" s="51"/>
      <c r="H86" s="51"/>
      <c r="I86" s="51"/>
      <c r="J86" s="51"/>
      <c r="K86" s="51"/>
      <c r="L86" s="117"/>
      <c r="M86" s="51"/>
      <c r="N86" s="21"/>
      <c r="O86" s="65"/>
      <c r="P86" s="65"/>
    </row>
    <row r="87" spans="1:20" s="91" customFormat="1" ht="15.75" customHeight="1">
      <c r="A87" s="106" t="s">
        <v>463</v>
      </c>
      <c r="B87" s="62">
        <f>SUM(B89:B89)</f>
        <v>20737</v>
      </c>
      <c r="C87" s="98" t="s">
        <v>374</v>
      </c>
      <c r="D87" s="122">
        <f>SUM(D89:D89)</f>
        <v>20737</v>
      </c>
      <c r="E87" s="62" t="s">
        <v>374</v>
      </c>
      <c r="F87" s="97" t="s">
        <v>374</v>
      </c>
      <c r="G87" s="97" t="s">
        <v>374</v>
      </c>
      <c r="H87" s="97" t="s">
        <v>374</v>
      </c>
      <c r="I87" s="97" t="s">
        <v>374</v>
      </c>
      <c r="J87" s="97" t="s">
        <v>374</v>
      </c>
      <c r="K87" s="97" t="s">
        <v>374</v>
      </c>
      <c r="L87" s="97" t="s">
        <v>374</v>
      </c>
      <c r="M87" s="97" t="s">
        <v>374</v>
      </c>
      <c r="N87" s="98" t="s">
        <v>374</v>
      </c>
      <c r="O87" s="112" t="s">
        <v>374</v>
      </c>
      <c r="P87" s="112" t="s">
        <v>374</v>
      </c>
      <c r="S87" s="35"/>
      <c r="T87" s="35"/>
    </row>
    <row r="88" spans="1:20" ht="15.75" customHeight="1">
      <c r="A88" s="120"/>
      <c r="B88" s="64"/>
      <c r="C88" s="51"/>
      <c r="D88" s="51"/>
      <c r="E88" s="117"/>
      <c r="F88" s="51"/>
      <c r="G88" s="51"/>
      <c r="H88" s="51"/>
      <c r="I88" s="51"/>
      <c r="J88" s="51"/>
      <c r="K88" s="51"/>
      <c r="L88" s="117"/>
      <c r="M88" s="51"/>
      <c r="N88" s="21"/>
      <c r="O88" s="65"/>
      <c r="P88" s="65"/>
    </row>
    <row r="89" spans="1:20" ht="15.75" customHeight="1">
      <c r="A89" s="120" t="s">
        <v>464</v>
      </c>
      <c r="B89" s="26">
        <f>SUM(C89:P89)</f>
        <v>20737</v>
      </c>
      <c r="C89" s="118" t="s">
        <v>374</v>
      </c>
      <c r="D89" s="64">
        <f>'c-11'!G18</f>
        <v>20737</v>
      </c>
      <c r="E89" s="64" t="s">
        <v>374</v>
      </c>
      <c r="F89" s="117" t="s">
        <v>374</v>
      </c>
      <c r="G89" s="117" t="s">
        <v>374</v>
      </c>
      <c r="H89" s="117" t="s">
        <v>374</v>
      </c>
      <c r="I89" s="117" t="s">
        <v>374</v>
      </c>
      <c r="J89" s="117" t="s">
        <v>374</v>
      </c>
      <c r="K89" s="117" t="s">
        <v>374</v>
      </c>
      <c r="L89" s="117" t="s">
        <v>374</v>
      </c>
      <c r="M89" s="117" t="s">
        <v>374</v>
      </c>
      <c r="N89" s="118" t="s">
        <v>374</v>
      </c>
      <c r="O89" s="65" t="s">
        <v>374</v>
      </c>
      <c r="P89" s="65" t="s">
        <v>374</v>
      </c>
    </row>
    <row r="90" spans="1:20" ht="15.75" customHeight="1">
      <c r="A90" s="113"/>
      <c r="B90" s="26"/>
      <c r="C90" s="51"/>
      <c r="D90" s="51"/>
      <c r="E90" s="51"/>
      <c r="F90" s="51"/>
      <c r="G90" s="51"/>
      <c r="H90" s="51"/>
      <c r="I90" s="51"/>
      <c r="J90" s="51"/>
      <c r="K90" s="51"/>
      <c r="L90" s="117"/>
      <c r="M90" s="51"/>
      <c r="N90" s="21"/>
      <c r="O90" s="65"/>
      <c r="P90" s="65"/>
    </row>
    <row r="91" spans="1:20" ht="15.75" customHeight="1">
      <c r="A91" s="106" t="s">
        <v>228</v>
      </c>
      <c r="B91" s="62">
        <f>SUM(B93:B104)</f>
        <v>13852</v>
      </c>
      <c r="C91" s="97" t="s">
        <v>374</v>
      </c>
      <c r="D91" s="97" t="s">
        <v>374</v>
      </c>
      <c r="E91" s="97" t="s">
        <v>374</v>
      </c>
      <c r="F91" s="62">
        <f>SUM(F93:F104)</f>
        <v>13852</v>
      </c>
      <c r="G91" s="62" t="s">
        <v>374</v>
      </c>
      <c r="H91" s="97" t="s">
        <v>374</v>
      </c>
      <c r="I91" s="97" t="s">
        <v>374</v>
      </c>
      <c r="J91" s="97" t="s">
        <v>374</v>
      </c>
      <c r="K91" s="97" t="s">
        <v>374</v>
      </c>
      <c r="L91" s="97" t="s">
        <v>374</v>
      </c>
      <c r="M91" s="97" t="s">
        <v>374</v>
      </c>
      <c r="N91" s="98" t="s">
        <v>374</v>
      </c>
      <c r="O91" s="112" t="s">
        <v>374</v>
      </c>
      <c r="P91" s="112" t="s">
        <v>374</v>
      </c>
    </row>
    <row r="92" spans="1:20" ht="15.75" customHeight="1">
      <c r="A92" s="120"/>
      <c r="B92" s="64"/>
      <c r="C92" s="51"/>
      <c r="D92" s="51"/>
      <c r="E92" s="51"/>
      <c r="F92" s="117"/>
      <c r="G92" s="51"/>
      <c r="H92" s="51"/>
      <c r="I92" s="51"/>
      <c r="J92" s="51"/>
      <c r="K92" s="51"/>
      <c r="L92" s="117"/>
      <c r="M92" s="51"/>
      <c r="N92" s="118"/>
      <c r="O92" s="65"/>
      <c r="P92" s="65"/>
    </row>
    <row r="93" spans="1:20" ht="15.75" customHeight="1">
      <c r="A93" s="120" t="s">
        <v>465</v>
      </c>
      <c r="B93" s="26">
        <f t="shared" ref="B93:B104" si="2">SUM(C93:P93)</f>
        <v>1568</v>
      </c>
      <c r="C93" s="117" t="s">
        <v>374</v>
      </c>
      <c r="D93" s="117" t="s">
        <v>374</v>
      </c>
      <c r="E93" s="117" t="s">
        <v>374</v>
      </c>
      <c r="F93" s="65">
        <f>'c-14'!H12</f>
        <v>1568</v>
      </c>
      <c r="G93" s="64" t="s">
        <v>374</v>
      </c>
      <c r="H93" s="117" t="s">
        <v>374</v>
      </c>
      <c r="I93" s="117" t="s">
        <v>374</v>
      </c>
      <c r="J93" s="117" t="s">
        <v>374</v>
      </c>
      <c r="K93" s="117" t="s">
        <v>374</v>
      </c>
      <c r="L93" s="117" t="s">
        <v>374</v>
      </c>
      <c r="M93" s="117" t="s">
        <v>374</v>
      </c>
      <c r="N93" s="118" t="s">
        <v>374</v>
      </c>
      <c r="O93" s="65" t="s">
        <v>374</v>
      </c>
      <c r="P93" s="65" t="s">
        <v>374</v>
      </c>
    </row>
    <row r="94" spans="1:20" ht="15.75" customHeight="1">
      <c r="A94" s="120" t="s">
        <v>466</v>
      </c>
      <c r="B94" s="26">
        <f t="shared" si="2"/>
        <v>1798</v>
      </c>
      <c r="C94" s="117" t="s">
        <v>374</v>
      </c>
      <c r="D94" s="117" t="s">
        <v>374</v>
      </c>
      <c r="E94" s="117" t="s">
        <v>374</v>
      </c>
      <c r="F94" s="65">
        <f>'c-14'!H13</f>
        <v>1798</v>
      </c>
      <c r="G94" s="64" t="s">
        <v>374</v>
      </c>
      <c r="H94" s="117" t="s">
        <v>374</v>
      </c>
      <c r="I94" s="117" t="s">
        <v>374</v>
      </c>
      <c r="J94" s="117" t="s">
        <v>374</v>
      </c>
      <c r="K94" s="117" t="s">
        <v>374</v>
      </c>
      <c r="L94" s="117" t="s">
        <v>374</v>
      </c>
      <c r="M94" s="117" t="s">
        <v>374</v>
      </c>
      <c r="N94" s="118" t="s">
        <v>374</v>
      </c>
      <c r="O94" s="65" t="s">
        <v>374</v>
      </c>
      <c r="P94" s="65" t="s">
        <v>374</v>
      </c>
    </row>
    <row r="95" spans="1:20" ht="15.75" customHeight="1">
      <c r="A95" s="120" t="s">
        <v>467</v>
      </c>
      <c r="B95" s="26">
        <f t="shared" si="2"/>
        <v>548</v>
      </c>
      <c r="C95" s="117" t="s">
        <v>374</v>
      </c>
      <c r="D95" s="117" t="s">
        <v>374</v>
      </c>
      <c r="E95" s="117" t="s">
        <v>374</v>
      </c>
      <c r="F95" s="65">
        <f>'c-14'!H14</f>
        <v>548</v>
      </c>
      <c r="G95" s="64" t="s">
        <v>374</v>
      </c>
      <c r="H95" s="117" t="s">
        <v>374</v>
      </c>
      <c r="I95" s="117" t="s">
        <v>374</v>
      </c>
      <c r="J95" s="117" t="s">
        <v>374</v>
      </c>
      <c r="K95" s="117" t="s">
        <v>374</v>
      </c>
      <c r="L95" s="117" t="s">
        <v>374</v>
      </c>
      <c r="M95" s="117" t="s">
        <v>374</v>
      </c>
      <c r="N95" s="118" t="s">
        <v>374</v>
      </c>
      <c r="O95" s="65" t="s">
        <v>374</v>
      </c>
      <c r="P95" s="65" t="s">
        <v>374</v>
      </c>
    </row>
    <row r="96" spans="1:20" ht="15.75" customHeight="1">
      <c r="A96" s="120" t="s">
        <v>468</v>
      </c>
      <c r="B96" s="26">
        <f t="shared" si="2"/>
        <v>1808</v>
      </c>
      <c r="C96" s="117" t="s">
        <v>374</v>
      </c>
      <c r="D96" s="117" t="s">
        <v>374</v>
      </c>
      <c r="E96" s="117" t="s">
        <v>374</v>
      </c>
      <c r="F96" s="65">
        <f>'c-14'!H18</f>
        <v>1808</v>
      </c>
      <c r="G96" s="64" t="s">
        <v>374</v>
      </c>
      <c r="H96" s="117" t="s">
        <v>374</v>
      </c>
      <c r="I96" s="117" t="s">
        <v>374</v>
      </c>
      <c r="J96" s="117" t="s">
        <v>374</v>
      </c>
      <c r="K96" s="117" t="s">
        <v>374</v>
      </c>
      <c r="L96" s="117" t="s">
        <v>374</v>
      </c>
      <c r="M96" s="117" t="s">
        <v>374</v>
      </c>
      <c r="N96" s="118" t="s">
        <v>374</v>
      </c>
      <c r="O96" s="65" t="s">
        <v>374</v>
      </c>
      <c r="P96" s="65" t="s">
        <v>374</v>
      </c>
      <c r="S96" s="91"/>
      <c r="T96" s="91"/>
    </row>
    <row r="97" spans="1:20" ht="15.75" customHeight="1">
      <c r="A97" s="120" t="s">
        <v>425</v>
      </c>
      <c r="B97" s="26">
        <f t="shared" si="2"/>
        <v>763</v>
      </c>
      <c r="C97" s="117" t="s">
        <v>374</v>
      </c>
      <c r="D97" s="117" t="s">
        <v>374</v>
      </c>
      <c r="E97" s="117" t="s">
        <v>374</v>
      </c>
      <c r="F97" s="65">
        <f>'c-14'!H22</f>
        <v>763</v>
      </c>
      <c r="G97" s="64" t="s">
        <v>374</v>
      </c>
      <c r="H97" s="117" t="s">
        <v>374</v>
      </c>
      <c r="I97" s="117" t="s">
        <v>374</v>
      </c>
      <c r="J97" s="117" t="s">
        <v>374</v>
      </c>
      <c r="K97" s="117" t="s">
        <v>374</v>
      </c>
      <c r="L97" s="117" t="s">
        <v>374</v>
      </c>
      <c r="M97" s="117" t="s">
        <v>374</v>
      </c>
      <c r="N97" s="118" t="s">
        <v>374</v>
      </c>
      <c r="O97" s="65" t="s">
        <v>374</v>
      </c>
      <c r="P97" s="65" t="s">
        <v>374</v>
      </c>
    </row>
    <row r="98" spans="1:20" ht="15.75" customHeight="1">
      <c r="A98" s="120" t="s">
        <v>450</v>
      </c>
      <c r="B98" s="26">
        <f t="shared" si="2"/>
        <v>1532</v>
      </c>
      <c r="C98" s="117" t="s">
        <v>374</v>
      </c>
      <c r="D98" s="117" t="s">
        <v>374</v>
      </c>
      <c r="E98" s="117" t="s">
        <v>374</v>
      </c>
      <c r="F98" s="65">
        <f>'c-14'!H25</f>
        <v>1532</v>
      </c>
      <c r="G98" s="64" t="s">
        <v>374</v>
      </c>
      <c r="H98" s="117" t="s">
        <v>374</v>
      </c>
      <c r="I98" s="117" t="s">
        <v>374</v>
      </c>
      <c r="J98" s="117" t="s">
        <v>374</v>
      </c>
      <c r="K98" s="117" t="s">
        <v>374</v>
      </c>
      <c r="L98" s="117" t="s">
        <v>374</v>
      </c>
      <c r="M98" s="117" t="s">
        <v>374</v>
      </c>
      <c r="N98" s="118" t="s">
        <v>374</v>
      </c>
      <c r="O98" s="65" t="s">
        <v>374</v>
      </c>
      <c r="P98" s="65" t="s">
        <v>374</v>
      </c>
    </row>
    <row r="99" spans="1:20" ht="15.75" customHeight="1">
      <c r="A99" s="120" t="s">
        <v>498</v>
      </c>
      <c r="B99" s="26">
        <f t="shared" si="2"/>
        <v>427</v>
      </c>
      <c r="C99" s="117" t="s">
        <v>374</v>
      </c>
      <c r="D99" s="117" t="s">
        <v>374</v>
      </c>
      <c r="E99" s="117" t="s">
        <v>374</v>
      </c>
      <c r="F99" s="65">
        <f>'c-14'!H28</f>
        <v>427</v>
      </c>
      <c r="G99" s="64" t="s">
        <v>374</v>
      </c>
      <c r="H99" s="117" t="s">
        <v>374</v>
      </c>
      <c r="I99" s="117" t="s">
        <v>374</v>
      </c>
      <c r="J99" s="117" t="s">
        <v>374</v>
      </c>
      <c r="K99" s="117" t="s">
        <v>374</v>
      </c>
      <c r="L99" s="117" t="s">
        <v>374</v>
      </c>
      <c r="M99" s="64" t="s">
        <v>374</v>
      </c>
      <c r="N99" s="66" t="s">
        <v>374</v>
      </c>
      <c r="O99" s="65" t="s">
        <v>374</v>
      </c>
      <c r="P99" s="65" t="s">
        <v>374</v>
      </c>
    </row>
    <row r="100" spans="1:20" ht="15.75" customHeight="1">
      <c r="A100" s="120" t="s">
        <v>451</v>
      </c>
      <c r="B100" s="26">
        <f t="shared" si="2"/>
        <v>1432</v>
      </c>
      <c r="C100" s="117" t="s">
        <v>374</v>
      </c>
      <c r="D100" s="117" t="s">
        <v>374</v>
      </c>
      <c r="E100" s="117" t="s">
        <v>374</v>
      </c>
      <c r="F100" s="65">
        <f>'c-14'!H36</f>
        <v>1432</v>
      </c>
      <c r="G100" s="64" t="s">
        <v>374</v>
      </c>
      <c r="H100" s="117" t="s">
        <v>374</v>
      </c>
      <c r="I100" s="117" t="s">
        <v>374</v>
      </c>
      <c r="J100" s="117" t="s">
        <v>374</v>
      </c>
      <c r="K100" s="117" t="s">
        <v>374</v>
      </c>
      <c r="L100" s="117" t="s">
        <v>374</v>
      </c>
      <c r="M100" s="117" t="s">
        <v>374</v>
      </c>
      <c r="N100" s="118" t="s">
        <v>374</v>
      </c>
      <c r="O100" s="65" t="s">
        <v>374</v>
      </c>
      <c r="P100" s="65" t="s">
        <v>374</v>
      </c>
    </row>
    <row r="101" spans="1:20" ht="15.75" customHeight="1">
      <c r="A101" s="120" t="s">
        <v>426</v>
      </c>
      <c r="B101" s="26">
        <f t="shared" si="2"/>
        <v>2059</v>
      </c>
      <c r="C101" s="117" t="s">
        <v>374</v>
      </c>
      <c r="D101" s="117" t="s">
        <v>374</v>
      </c>
      <c r="E101" s="117" t="s">
        <v>374</v>
      </c>
      <c r="F101" s="65">
        <f>'c-14'!H40</f>
        <v>2059</v>
      </c>
      <c r="G101" s="64" t="s">
        <v>374</v>
      </c>
      <c r="H101" s="117" t="s">
        <v>374</v>
      </c>
      <c r="I101" s="117" t="s">
        <v>374</v>
      </c>
      <c r="J101" s="117" t="s">
        <v>374</v>
      </c>
      <c r="K101" s="117" t="s">
        <v>374</v>
      </c>
      <c r="L101" s="117" t="s">
        <v>374</v>
      </c>
      <c r="M101" s="117" t="s">
        <v>374</v>
      </c>
      <c r="N101" s="118" t="s">
        <v>374</v>
      </c>
      <c r="O101" s="65" t="s">
        <v>374</v>
      </c>
      <c r="P101" s="65" t="s">
        <v>374</v>
      </c>
    </row>
    <row r="102" spans="1:20" ht="15.75" customHeight="1">
      <c r="A102" s="120" t="s">
        <v>427</v>
      </c>
      <c r="B102" s="26">
        <f t="shared" si="2"/>
        <v>606</v>
      </c>
      <c r="C102" s="117" t="s">
        <v>374</v>
      </c>
      <c r="D102" s="117" t="s">
        <v>374</v>
      </c>
      <c r="E102" s="117" t="s">
        <v>374</v>
      </c>
      <c r="F102" s="65">
        <f>'c-14'!H52</f>
        <v>606</v>
      </c>
      <c r="G102" s="64" t="s">
        <v>374</v>
      </c>
      <c r="H102" s="117" t="s">
        <v>374</v>
      </c>
      <c r="I102" s="117" t="s">
        <v>374</v>
      </c>
      <c r="J102" s="117" t="s">
        <v>374</v>
      </c>
      <c r="K102" s="117" t="s">
        <v>374</v>
      </c>
      <c r="L102" s="117" t="s">
        <v>374</v>
      </c>
      <c r="M102" s="117" t="s">
        <v>374</v>
      </c>
      <c r="N102" s="118" t="s">
        <v>374</v>
      </c>
      <c r="O102" s="65" t="s">
        <v>374</v>
      </c>
      <c r="P102" s="65" t="s">
        <v>374</v>
      </c>
    </row>
    <row r="103" spans="1:20" ht="15.75" customHeight="1">
      <c r="A103" s="120" t="s">
        <v>890</v>
      </c>
      <c r="B103" s="26">
        <f>SUM(C103:P103)</f>
        <v>477</v>
      </c>
      <c r="C103" s="117" t="s">
        <v>374</v>
      </c>
      <c r="D103" s="117" t="s">
        <v>374</v>
      </c>
      <c r="E103" s="117" t="s">
        <v>374</v>
      </c>
      <c r="F103" s="65">
        <f>'c-14'!H65</f>
        <v>477</v>
      </c>
      <c r="G103" s="64" t="s">
        <v>374</v>
      </c>
      <c r="H103" s="117" t="s">
        <v>374</v>
      </c>
      <c r="I103" s="117" t="s">
        <v>374</v>
      </c>
      <c r="J103" s="117" t="s">
        <v>374</v>
      </c>
      <c r="K103" s="117" t="s">
        <v>374</v>
      </c>
      <c r="L103" s="117" t="s">
        <v>374</v>
      </c>
      <c r="M103" s="117" t="s">
        <v>374</v>
      </c>
      <c r="N103" s="118" t="s">
        <v>374</v>
      </c>
      <c r="O103" s="65" t="s">
        <v>374</v>
      </c>
      <c r="P103" s="65" t="s">
        <v>374</v>
      </c>
    </row>
    <row r="104" spans="1:20" ht="15.75" customHeight="1">
      <c r="A104" s="120" t="s">
        <v>1017</v>
      </c>
      <c r="B104" s="26">
        <f t="shared" si="2"/>
        <v>834</v>
      </c>
      <c r="C104" s="117" t="s">
        <v>374</v>
      </c>
      <c r="D104" s="117" t="s">
        <v>374</v>
      </c>
      <c r="E104" s="117" t="s">
        <v>374</v>
      </c>
      <c r="F104" s="65">
        <f>'c-14'!H68</f>
        <v>834</v>
      </c>
      <c r="G104" s="64" t="s">
        <v>374</v>
      </c>
      <c r="H104" s="117" t="s">
        <v>374</v>
      </c>
      <c r="I104" s="117" t="s">
        <v>374</v>
      </c>
      <c r="J104" s="117" t="s">
        <v>374</v>
      </c>
      <c r="K104" s="117" t="s">
        <v>374</v>
      </c>
      <c r="L104" s="117" t="s">
        <v>374</v>
      </c>
      <c r="M104" s="117" t="s">
        <v>374</v>
      </c>
      <c r="N104" s="118" t="s">
        <v>374</v>
      </c>
      <c r="O104" s="65" t="s">
        <v>374</v>
      </c>
      <c r="P104" s="65" t="s">
        <v>374</v>
      </c>
    </row>
    <row r="105" spans="1:20" ht="15.75" customHeight="1">
      <c r="A105" s="120"/>
      <c r="B105" s="64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117"/>
      <c r="N105" s="118"/>
      <c r="O105" s="65"/>
      <c r="P105" s="65"/>
      <c r="S105" s="91"/>
      <c r="T105" s="91"/>
    </row>
    <row r="106" spans="1:20" ht="15.75" customHeight="1">
      <c r="A106" s="106" t="s">
        <v>230</v>
      </c>
      <c r="B106" s="62">
        <f>SUM(B108:B119)</f>
        <v>19444</v>
      </c>
      <c r="C106" s="97" t="s">
        <v>374</v>
      </c>
      <c r="D106" s="97" t="s">
        <v>374</v>
      </c>
      <c r="E106" s="97" t="s">
        <v>374</v>
      </c>
      <c r="F106" s="97" t="s">
        <v>374</v>
      </c>
      <c r="G106" s="62" t="s">
        <v>374</v>
      </c>
      <c r="H106" s="97" t="s">
        <v>374</v>
      </c>
      <c r="I106" s="97" t="s">
        <v>374</v>
      </c>
      <c r="J106" s="97" t="s">
        <v>374</v>
      </c>
      <c r="K106" s="97" t="s">
        <v>374</v>
      </c>
      <c r="L106" s="97" t="s">
        <v>374</v>
      </c>
      <c r="M106" s="97" t="s">
        <v>374</v>
      </c>
      <c r="N106" s="63">
        <f>SUM(N108:N119)</f>
        <v>19444</v>
      </c>
      <c r="O106" s="112" t="s">
        <v>374</v>
      </c>
      <c r="P106" s="112" t="s">
        <v>374</v>
      </c>
      <c r="S106" s="91"/>
      <c r="T106" s="91"/>
    </row>
    <row r="107" spans="1:20" ht="15.75" customHeight="1">
      <c r="A107" s="120"/>
      <c r="B107" s="64"/>
      <c r="C107" s="51"/>
      <c r="D107" s="51"/>
      <c r="E107" s="51"/>
      <c r="F107" s="117"/>
      <c r="G107" s="51"/>
      <c r="H107" s="51"/>
      <c r="I107" s="51"/>
      <c r="J107" s="51"/>
      <c r="K107" s="51"/>
      <c r="L107" s="117"/>
      <c r="M107" s="51"/>
      <c r="N107" s="118"/>
      <c r="O107" s="65"/>
      <c r="P107" s="65"/>
      <c r="S107" s="91"/>
      <c r="T107" s="91"/>
    </row>
    <row r="108" spans="1:20" ht="15.75" customHeight="1">
      <c r="A108" s="120" t="s">
        <v>891</v>
      </c>
      <c r="B108" s="26">
        <f t="shared" ref="B108:B119" si="3">SUM(C108:P108)</f>
        <v>1135</v>
      </c>
      <c r="C108" s="117" t="s">
        <v>374</v>
      </c>
      <c r="D108" s="117" t="s">
        <v>374</v>
      </c>
      <c r="E108" s="117" t="s">
        <v>374</v>
      </c>
      <c r="F108" s="117" t="s">
        <v>374</v>
      </c>
      <c r="G108" s="117" t="s">
        <v>374</v>
      </c>
      <c r="H108" s="117" t="s">
        <v>374</v>
      </c>
      <c r="I108" s="117" t="s">
        <v>374</v>
      </c>
      <c r="J108" s="117" t="s">
        <v>374</v>
      </c>
      <c r="K108" s="117" t="s">
        <v>374</v>
      </c>
      <c r="L108" s="117" t="s">
        <v>374</v>
      </c>
      <c r="M108" s="117" t="s">
        <v>374</v>
      </c>
      <c r="N108" s="65">
        <f>'c-16'!G12</f>
        <v>1135</v>
      </c>
      <c r="O108" s="65" t="s">
        <v>374</v>
      </c>
      <c r="P108" s="65" t="s">
        <v>374</v>
      </c>
      <c r="S108" s="91"/>
      <c r="T108" s="91"/>
    </row>
    <row r="109" spans="1:20" ht="15.75" customHeight="1">
      <c r="A109" s="120" t="s">
        <v>468</v>
      </c>
      <c r="B109" s="26">
        <f t="shared" si="3"/>
        <v>4620</v>
      </c>
      <c r="C109" s="117" t="s">
        <v>374</v>
      </c>
      <c r="D109" s="117" t="s">
        <v>374</v>
      </c>
      <c r="E109" s="117" t="s">
        <v>374</v>
      </c>
      <c r="F109" s="117" t="s">
        <v>374</v>
      </c>
      <c r="G109" s="117" t="s">
        <v>374</v>
      </c>
      <c r="H109" s="117" t="s">
        <v>374</v>
      </c>
      <c r="I109" s="117" t="s">
        <v>374</v>
      </c>
      <c r="J109" s="117" t="s">
        <v>374</v>
      </c>
      <c r="K109" s="117" t="s">
        <v>374</v>
      </c>
      <c r="L109" s="117" t="s">
        <v>374</v>
      </c>
      <c r="M109" s="117" t="s">
        <v>374</v>
      </c>
      <c r="N109" s="65">
        <f>'c-16'!G20</f>
        <v>4620</v>
      </c>
      <c r="O109" s="65" t="s">
        <v>374</v>
      </c>
      <c r="P109" s="65" t="s">
        <v>374</v>
      </c>
    </row>
    <row r="110" spans="1:20" ht="15.75" customHeight="1">
      <c r="A110" s="120" t="s">
        <v>892</v>
      </c>
      <c r="B110" s="26">
        <f t="shared" si="3"/>
        <v>1624</v>
      </c>
      <c r="C110" s="117" t="s">
        <v>374</v>
      </c>
      <c r="D110" s="117" t="s">
        <v>374</v>
      </c>
      <c r="E110" s="117" t="s">
        <v>374</v>
      </c>
      <c r="F110" s="117" t="s">
        <v>374</v>
      </c>
      <c r="G110" s="117" t="s">
        <v>374</v>
      </c>
      <c r="H110" s="117" t="s">
        <v>374</v>
      </c>
      <c r="I110" s="117" t="s">
        <v>374</v>
      </c>
      <c r="J110" s="117" t="s">
        <v>374</v>
      </c>
      <c r="K110" s="117" t="s">
        <v>374</v>
      </c>
      <c r="L110" s="117" t="s">
        <v>374</v>
      </c>
      <c r="M110" s="117" t="s">
        <v>374</v>
      </c>
      <c r="N110" s="65">
        <f>'c-16'!G23</f>
        <v>1624</v>
      </c>
      <c r="O110" s="65" t="s">
        <v>374</v>
      </c>
      <c r="P110" s="65" t="s">
        <v>374</v>
      </c>
    </row>
    <row r="111" spans="1:20" ht="15.75" customHeight="1">
      <c r="A111" s="120" t="s">
        <v>893</v>
      </c>
      <c r="B111" s="26">
        <f t="shared" si="3"/>
        <v>1469</v>
      </c>
      <c r="C111" s="117" t="s">
        <v>374</v>
      </c>
      <c r="D111" s="117" t="s">
        <v>374</v>
      </c>
      <c r="E111" s="117" t="s">
        <v>374</v>
      </c>
      <c r="F111" s="117" t="s">
        <v>374</v>
      </c>
      <c r="G111" s="117" t="s">
        <v>374</v>
      </c>
      <c r="H111" s="117" t="s">
        <v>374</v>
      </c>
      <c r="I111" s="117" t="s">
        <v>374</v>
      </c>
      <c r="J111" s="117" t="s">
        <v>374</v>
      </c>
      <c r="K111" s="117" t="s">
        <v>374</v>
      </c>
      <c r="L111" s="117" t="s">
        <v>374</v>
      </c>
      <c r="M111" s="117" t="s">
        <v>374</v>
      </c>
      <c r="N111" s="65">
        <f>'c-16'!G25</f>
        <v>1469</v>
      </c>
      <c r="O111" s="65" t="s">
        <v>374</v>
      </c>
      <c r="P111" s="65" t="s">
        <v>374</v>
      </c>
    </row>
    <row r="112" spans="1:20" ht="15.75" customHeight="1">
      <c r="A112" s="120" t="s">
        <v>894</v>
      </c>
      <c r="B112" s="26">
        <f t="shared" si="3"/>
        <v>1298</v>
      </c>
      <c r="C112" s="117" t="s">
        <v>374</v>
      </c>
      <c r="D112" s="117" t="s">
        <v>374</v>
      </c>
      <c r="E112" s="117" t="s">
        <v>374</v>
      </c>
      <c r="F112" s="117" t="s">
        <v>374</v>
      </c>
      <c r="G112" s="117" t="s">
        <v>374</v>
      </c>
      <c r="H112" s="117" t="s">
        <v>374</v>
      </c>
      <c r="I112" s="117" t="s">
        <v>374</v>
      </c>
      <c r="J112" s="117" t="s">
        <v>374</v>
      </c>
      <c r="K112" s="117" t="s">
        <v>374</v>
      </c>
      <c r="L112" s="117" t="s">
        <v>374</v>
      </c>
      <c r="M112" s="117" t="s">
        <v>374</v>
      </c>
      <c r="N112" s="65">
        <f>'c-16'!G96</f>
        <v>1298</v>
      </c>
      <c r="O112" s="65" t="s">
        <v>374</v>
      </c>
      <c r="P112" s="65" t="s">
        <v>374</v>
      </c>
    </row>
    <row r="113" spans="1:20" ht="15.75" customHeight="1">
      <c r="A113" s="120" t="s">
        <v>450</v>
      </c>
      <c r="B113" s="26">
        <f t="shared" si="3"/>
        <v>2697</v>
      </c>
      <c r="C113" s="117" t="s">
        <v>374</v>
      </c>
      <c r="D113" s="117" t="s">
        <v>374</v>
      </c>
      <c r="E113" s="117" t="s">
        <v>374</v>
      </c>
      <c r="F113" s="117" t="s">
        <v>374</v>
      </c>
      <c r="G113" s="117" t="s">
        <v>374</v>
      </c>
      <c r="H113" s="117" t="s">
        <v>374</v>
      </c>
      <c r="I113" s="117" t="s">
        <v>374</v>
      </c>
      <c r="J113" s="117" t="s">
        <v>374</v>
      </c>
      <c r="K113" s="117" t="s">
        <v>374</v>
      </c>
      <c r="L113" s="117" t="s">
        <v>374</v>
      </c>
      <c r="M113" s="117" t="s">
        <v>374</v>
      </c>
      <c r="N113" s="65">
        <f>'c-16'!G30</f>
        <v>2697</v>
      </c>
      <c r="O113" s="65" t="s">
        <v>374</v>
      </c>
      <c r="P113" s="65" t="s">
        <v>374</v>
      </c>
    </row>
    <row r="114" spans="1:20" ht="15.75" customHeight="1">
      <c r="A114" s="120" t="s">
        <v>895</v>
      </c>
      <c r="B114" s="26">
        <f t="shared" si="3"/>
        <v>960</v>
      </c>
      <c r="C114" s="117" t="s">
        <v>374</v>
      </c>
      <c r="D114" s="117" t="s">
        <v>374</v>
      </c>
      <c r="E114" s="117" t="s">
        <v>374</v>
      </c>
      <c r="F114" s="117" t="s">
        <v>374</v>
      </c>
      <c r="G114" s="117" t="s">
        <v>374</v>
      </c>
      <c r="H114" s="117" t="s">
        <v>374</v>
      </c>
      <c r="I114" s="117" t="s">
        <v>374</v>
      </c>
      <c r="J114" s="117" t="s">
        <v>374</v>
      </c>
      <c r="K114" s="117" t="s">
        <v>374</v>
      </c>
      <c r="L114" s="117" t="s">
        <v>374</v>
      </c>
      <c r="M114" s="117" t="s">
        <v>374</v>
      </c>
      <c r="N114" s="65">
        <f>'c-16'!G37</f>
        <v>960</v>
      </c>
      <c r="O114" s="65" t="s">
        <v>374</v>
      </c>
      <c r="P114" s="65" t="s">
        <v>374</v>
      </c>
    </row>
    <row r="115" spans="1:20" ht="15.75" customHeight="1">
      <c r="A115" s="120" t="s">
        <v>451</v>
      </c>
      <c r="B115" s="26">
        <f t="shared" si="3"/>
        <v>1729</v>
      </c>
      <c r="C115" s="117" t="s">
        <v>374</v>
      </c>
      <c r="D115" s="117" t="s">
        <v>374</v>
      </c>
      <c r="E115" s="117" t="s">
        <v>374</v>
      </c>
      <c r="F115" s="117" t="s">
        <v>374</v>
      </c>
      <c r="G115" s="117" t="s">
        <v>374</v>
      </c>
      <c r="H115" s="117" t="s">
        <v>374</v>
      </c>
      <c r="I115" s="117" t="s">
        <v>374</v>
      </c>
      <c r="J115" s="117" t="s">
        <v>374</v>
      </c>
      <c r="K115" s="117" t="s">
        <v>374</v>
      </c>
      <c r="L115" s="117" t="s">
        <v>374</v>
      </c>
      <c r="M115" s="117" t="s">
        <v>374</v>
      </c>
      <c r="N115" s="65">
        <f>'c-16'!G53</f>
        <v>1729</v>
      </c>
      <c r="O115" s="65" t="s">
        <v>374</v>
      </c>
      <c r="P115" s="65" t="s">
        <v>374</v>
      </c>
    </row>
    <row r="116" spans="1:20" s="91" customFormat="1" ht="15.75" customHeight="1">
      <c r="A116" s="120" t="s">
        <v>426</v>
      </c>
      <c r="B116" s="26">
        <f t="shared" si="3"/>
        <v>1263</v>
      </c>
      <c r="C116" s="117" t="s">
        <v>374</v>
      </c>
      <c r="D116" s="117" t="s">
        <v>374</v>
      </c>
      <c r="E116" s="117" t="s">
        <v>374</v>
      </c>
      <c r="F116" s="117" t="s">
        <v>374</v>
      </c>
      <c r="G116" s="117" t="s">
        <v>374</v>
      </c>
      <c r="H116" s="117" t="s">
        <v>374</v>
      </c>
      <c r="I116" s="117" t="s">
        <v>374</v>
      </c>
      <c r="J116" s="117" t="s">
        <v>374</v>
      </c>
      <c r="K116" s="117" t="s">
        <v>374</v>
      </c>
      <c r="L116" s="117" t="s">
        <v>374</v>
      </c>
      <c r="M116" s="117" t="s">
        <v>374</v>
      </c>
      <c r="N116" s="65">
        <f>'c-16'!G62</f>
        <v>1263</v>
      </c>
      <c r="O116" s="65" t="s">
        <v>374</v>
      </c>
      <c r="P116" s="65" t="s">
        <v>374</v>
      </c>
      <c r="S116" s="35"/>
      <c r="T116" s="35"/>
    </row>
    <row r="117" spans="1:20" ht="15.75" customHeight="1">
      <c r="A117" s="120" t="s">
        <v>427</v>
      </c>
      <c r="B117" s="26">
        <f t="shared" si="3"/>
        <v>1160</v>
      </c>
      <c r="C117" s="117" t="s">
        <v>374</v>
      </c>
      <c r="D117" s="117" t="s">
        <v>374</v>
      </c>
      <c r="E117" s="117" t="s">
        <v>374</v>
      </c>
      <c r="F117" s="117" t="s">
        <v>374</v>
      </c>
      <c r="G117" s="117" t="s">
        <v>374</v>
      </c>
      <c r="H117" s="117" t="s">
        <v>374</v>
      </c>
      <c r="I117" s="117" t="s">
        <v>374</v>
      </c>
      <c r="J117" s="117" t="s">
        <v>374</v>
      </c>
      <c r="K117" s="117" t="s">
        <v>374</v>
      </c>
      <c r="L117" s="117" t="s">
        <v>374</v>
      </c>
      <c r="M117" s="117" t="s">
        <v>374</v>
      </c>
      <c r="N117" s="65">
        <f>'c-16'!G86</f>
        <v>1160</v>
      </c>
      <c r="O117" s="65" t="s">
        <v>374</v>
      </c>
      <c r="P117" s="65" t="s">
        <v>374</v>
      </c>
    </row>
    <row r="118" spans="1:20" s="123" customFormat="1" ht="15.75" customHeight="1">
      <c r="A118" s="120" t="s">
        <v>896</v>
      </c>
      <c r="B118" s="26">
        <f t="shared" si="3"/>
        <v>680</v>
      </c>
      <c r="C118" s="117" t="s">
        <v>374</v>
      </c>
      <c r="D118" s="117" t="s">
        <v>374</v>
      </c>
      <c r="E118" s="117" t="s">
        <v>374</v>
      </c>
      <c r="F118" s="117" t="s">
        <v>374</v>
      </c>
      <c r="G118" s="117" t="s">
        <v>374</v>
      </c>
      <c r="H118" s="117" t="s">
        <v>374</v>
      </c>
      <c r="I118" s="117" t="s">
        <v>374</v>
      </c>
      <c r="J118" s="117" t="s">
        <v>374</v>
      </c>
      <c r="K118" s="117" t="s">
        <v>374</v>
      </c>
      <c r="L118" s="117" t="s">
        <v>374</v>
      </c>
      <c r="M118" s="117" t="s">
        <v>374</v>
      </c>
      <c r="N118" s="65">
        <f>'c-16'!G107</f>
        <v>680</v>
      </c>
      <c r="O118" s="65" t="s">
        <v>374</v>
      </c>
      <c r="P118" s="65" t="s">
        <v>374</v>
      </c>
      <c r="S118" s="35"/>
      <c r="T118" s="35"/>
    </row>
    <row r="119" spans="1:20" ht="15.75" customHeight="1">
      <c r="A119" s="120" t="s">
        <v>897</v>
      </c>
      <c r="B119" s="26">
        <f t="shared" si="3"/>
        <v>809</v>
      </c>
      <c r="C119" s="117" t="s">
        <v>374</v>
      </c>
      <c r="D119" s="117" t="s">
        <v>374</v>
      </c>
      <c r="E119" s="117" t="s">
        <v>374</v>
      </c>
      <c r="F119" s="117" t="s">
        <v>374</v>
      </c>
      <c r="G119" s="117" t="s">
        <v>374</v>
      </c>
      <c r="H119" s="117" t="s">
        <v>374</v>
      </c>
      <c r="I119" s="117" t="s">
        <v>374</v>
      </c>
      <c r="J119" s="117" t="s">
        <v>374</v>
      </c>
      <c r="K119" s="117" t="s">
        <v>374</v>
      </c>
      <c r="L119" s="117" t="s">
        <v>374</v>
      </c>
      <c r="M119" s="117" t="s">
        <v>374</v>
      </c>
      <c r="N119" s="65">
        <f>'c-16'!G112</f>
        <v>809</v>
      </c>
      <c r="O119" s="65" t="s">
        <v>374</v>
      </c>
      <c r="P119" s="65" t="s">
        <v>374</v>
      </c>
    </row>
    <row r="120" spans="1:20" ht="15.75" customHeight="1">
      <c r="A120" s="120"/>
      <c r="B120" s="64"/>
      <c r="C120" s="117"/>
      <c r="D120" s="117"/>
      <c r="E120" s="117"/>
      <c r="F120" s="117"/>
      <c r="G120" s="117"/>
      <c r="H120" s="117"/>
      <c r="I120" s="117"/>
      <c r="J120" s="117"/>
      <c r="K120" s="117"/>
      <c r="L120" s="117"/>
      <c r="M120" s="117"/>
      <c r="N120" s="118"/>
      <c r="O120" s="65"/>
      <c r="P120" s="65"/>
    </row>
    <row r="121" spans="1:20" ht="15.75" customHeight="1">
      <c r="A121" s="106" t="s">
        <v>898</v>
      </c>
      <c r="B121" s="62">
        <f>SUM(B123:B132)</f>
        <v>5157</v>
      </c>
      <c r="C121" s="97" t="s">
        <v>374</v>
      </c>
      <c r="D121" s="97" t="s">
        <v>374</v>
      </c>
      <c r="E121" s="97" t="s">
        <v>374</v>
      </c>
      <c r="F121" s="97" t="s">
        <v>374</v>
      </c>
      <c r="G121" s="62">
        <f>SUM(G123:G132)</f>
        <v>5157</v>
      </c>
      <c r="H121" s="97" t="s">
        <v>374</v>
      </c>
      <c r="I121" s="97" t="s">
        <v>374</v>
      </c>
      <c r="J121" s="97" t="s">
        <v>374</v>
      </c>
      <c r="K121" s="97" t="s">
        <v>374</v>
      </c>
      <c r="L121" s="97" t="s">
        <v>374</v>
      </c>
      <c r="M121" s="97" t="s">
        <v>374</v>
      </c>
      <c r="N121" s="98" t="s">
        <v>374</v>
      </c>
      <c r="O121" s="112" t="s">
        <v>374</v>
      </c>
      <c r="P121" s="112" t="s">
        <v>374</v>
      </c>
    </row>
    <row r="122" spans="1:20" ht="15.75" customHeight="1">
      <c r="A122" s="120"/>
      <c r="B122" s="64"/>
      <c r="C122" s="51"/>
      <c r="D122" s="51"/>
      <c r="E122" s="51"/>
      <c r="F122" s="51"/>
      <c r="G122" s="64"/>
      <c r="H122" s="51"/>
      <c r="I122" s="117"/>
      <c r="J122" s="51"/>
      <c r="K122" s="51"/>
      <c r="L122" s="117"/>
      <c r="M122" s="51"/>
      <c r="N122" s="21"/>
      <c r="O122" s="65"/>
      <c r="P122" s="65"/>
    </row>
    <row r="123" spans="1:20" ht="15.75" customHeight="1">
      <c r="A123" s="120" t="s">
        <v>522</v>
      </c>
      <c r="B123" s="26">
        <f t="shared" ref="B123:B132" si="4">SUM(C123:P123)</f>
        <v>459</v>
      </c>
      <c r="C123" s="51" t="s">
        <v>374</v>
      </c>
      <c r="D123" s="51" t="s">
        <v>374</v>
      </c>
      <c r="E123" s="51"/>
      <c r="F123" s="51" t="s">
        <v>374</v>
      </c>
      <c r="G123" s="64">
        <f>'c-12'!H12</f>
        <v>459</v>
      </c>
      <c r="H123" s="51" t="s">
        <v>374</v>
      </c>
      <c r="I123" s="51" t="s">
        <v>374</v>
      </c>
      <c r="J123" s="51" t="s">
        <v>374</v>
      </c>
      <c r="K123" s="51" t="s">
        <v>374</v>
      </c>
      <c r="L123" s="117" t="s">
        <v>374</v>
      </c>
      <c r="M123" s="51" t="s">
        <v>374</v>
      </c>
      <c r="N123" s="21" t="s">
        <v>374</v>
      </c>
      <c r="O123" s="65"/>
      <c r="P123" s="65"/>
    </row>
    <row r="124" spans="1:20" ht="15.75" customHeight="1">
      <c r="A124" s="120" t="s">
        <v>156</v>
      </c>
      <c r="B124" s="26">
        <f t="shared" si="4"/>
        <v>306</v>
      </c>
      <c r="C124" s="51" t="s">
        <v>374</v>
      </c>
      <c r="D124" s="51" t="s">
        <v>374</v>
      </c>
      <c r="E124" s="51"/>
      <c r="F124" s="51" t="s">
        <v>374</v>
      </c>
      <c r="G124" s="64">
        <f>'c-12'!H38</f>
        <v>306</v>
      </c>
      <c r="H124" s="51" t="s">
        <v>374</v>
      </c>
      <c r="I124" s="51" t="s">
        <v>374</v>
      </c>
      <c r="J124" s="51" t="s">
        <v>374</v>
      </c>
      <c r="K124" s="51" t="s">
        <v>374</v>
      </c>
      <c r="L124" s="117" t="s">
        <v>374</v>
      </c>
      <c r="M124" s="51" t="s">
        <v>374</v>
      </c>
      <c r="N124" s="21" t="s">
        <v>374</v>
      </c>
      <c r="O124" s="65"/>
      <c r="P124" s="65"/>
    </row>
    <row r="125" spans="1:20" ht="15.75" customHeight="1">
      <c r="A125" s="120" t="s">
        <v>523</v>
      </c>
      <c r="B125" s="26">
        <f t="shared" si="4"/>
        <v>361</v>
      </c>
      <c r="C125" s="51" t="s">
        <v>374</v>
      </c>
      <c r="D125" s="51" t="s">
        <v>374</v>
      </c>
      <c r="E125" s="51"/>
      <c r="F125" s="51" t="s">
        <v>374</v>
      </c>
      <c r="G125" s="64">
        <f>'c-12'!H25</f>
        <v>361</v>
      </c>
      <c r="H125" s="51" t="s">
        <v>374</v>
      </c>
      <c r="I125" s="51" t="s">
        <v>374</v>
      </c>
      <c r="J125" s="51" t="s">
        <v>374</v>
      </c>
      <c r="K125" s="51" t="s">
        <v>374</v>
      </c>
      <c r="L125" s="117" t="s">
        <v>374</v>
      </c>
      <c r="M125" s="51" t="s">
        <v>374</v>
      </c>
      <c r="N125" s="21" t="s">
        <v>374</v>
      </c>
      <c r="O125" s="65"/>
      <c r="P125" s="65"/>
    </row>
    <row r="126" spans="1:20" ht="15.75" customHeight="1">
      <c r="A126" s="120" t="s">
        <v>524</v>
      </c>
      <c r="B126" s="26">
        <f t="shared" si="4"/>
        <v>332</v>
      </c>
      <c r="C126" s="51" t="s">
        <v>374</v>
      </c>
      <c r="D126" s="51" t="s">
        <v>374</v>
      </c>
      <c r="E126" s="51" t="s">
        <v>374</v>
      </c>
      <c r="F126" s="51" t="s">
        <v>374</v>
      </c>
      <c r="G126" s="24">
        <f>'c-12'!H15</f>
        <v>332</v>
      </c>
      <c r="H126" s="51" t="s">
        <v>374</v>
      </c>
      <c r="I126" s="51" t="s">
        <v>374</v>
      </c>
      <c r="J126" s="51" t="s">
        <v>374</v>
      </c>
      <c r="K126" s="51" t="s">
        <v>374</v>
      </c>
      <c r="L126" s="51" t="s">
        <v>374</v>
      </c>
      <c r="M126" s="51" t="s">
        <v>374</v>
      </c>
      <c r="N126" s="21" t="s">
        <v>374</v>
      </c>
      <c r="O126" s="65" t="s">
        <v>374</v>
      </c>
      <c r="P126" s="65" t="s">
        <v>374</v>
      </c>
    </row>
    <row r="127" spans="1:20" ht="15.75" customHeight="1">
      <c r="A127" s="120" t="s">
        <v>158</v>
      </c>
      <c r="B127" s="26">
        <f t="shared" si="4"/>
        <v>361</v>
      </c>
      <c r="C127" s="51" t="s">
        <v>374</v>
      </c>
      <c r="D127" s="51" t="s">
        <v>374</v>
      </c>
      <c r="E127" s="51" t="s">
        <v>374</v>
      </c>
      <c r="F127" s="51" t="s">
        <v>374</v>
      </c>
      <c r="G127" s="24">
        <f>'c-12'!H18</f>
        <v>361</v>
      </c>
      <c r="H127" s="51" t="s">
        <v>374</v>
      </c>
      <c r="I127" s="51" t="s">
        <v>374</v>
      </c>
      <c r="J127" s="51" t="s">
        <v>374</v>
      </c>
      <c r="K127" s="51" t="s">
        <v>374</v>
      </c>
      <c r="L127" s="51" t="s">
        <v>374</v>
      </c>
      <c r="M127" s="51" t="s">
        <v>374</v>
      </c>
      <c r="N127" s="21" t="s">
        <v>374</v>
      </c>
      <c r="O127" s="65" t="s">
        <v>374</v>
      </c>
      <c r="P127" s="65" t="s">
        <v>374</v>
      </c>
    </row>
    <row r="128" spans="1:20" ht="15.75" customHeight="1">
      <c r="A128" s="120" t="s">
        <v>159</v>
      </c>
      <c r="B128" s="26">
        <f t="shared" si="4"/>
        <v>537</v>
      </c>
      <c r="C128" s="51" t="s">
        <v>374</v>
      </c>
      <c r="D128" s="51" t="s">
        <v>374</v>
      </c>
      <c r="E128" s="51" t="s">
        <v>374</v>
      </c>
      <c r="F128" s="51" t="s">
        <v>374</v>
      </c>
      <c r="G128" s="24">
        <f>'c-12'!H29</f>
        <v>537</v>
      </c>
      <c r="H128" s="51" t="s">
        <v>374</v>
      </c>
      <c r="I128" s="51" t="s">
        <v>374</v>
      </c>
      <c r="J128" s="51" t="s">
        <v>374</v>
      </c>
      <c r="K128" s="51" t="s">
        <v>374</v>
      </c>
      <c r="L128" s="51" t="s">
        <v>374</v>
      </c>
      <c r="M128" s="51" t="s">
        <v>374</v>
      </c>
      <c r="N128" s="21" t="s">
        <v>374</v>
      </c>
      <c r="O128" s="65" t="s">
        <v>374</v>
      </c>
      <c r="P128" s="65" t="s">
        <v>374</v>
      </c>
    </row>
    <row r="129" spans="1:20" s="91" customFormat="1" ht="15.75" customHeight="1">
      <c r="A129" s="120" t="s">
        <v>160</v>
      </c>
      <c r="B129" s="26">
        <f t="shared" si="4"/>
        <v>745</v>
      </c>
      <c r="C129" s="51" t="s">
        <v>374</v>
      </c>
      <c r="D129" s="51" t="s">
        <v>374</v>
      </c>
      <c r="E129" s="51" t="s">
        <v>374</v>
      </c>
      <c r="F129" s="51" t="s">
        <v>374</v>
      </c>
      <c r="G129" s="24">
        <f>'c-12'!H32</f>
        <v>745</v>
      </c>
      <c r="H129" s="51" t="s">
        <v>374</v>
      </c>
      <c r="I129" s="51" t="s">
        <v>374</v>
      </c>
      <c r="J129" s="51" t="s">
        <v>374</v>
      </c>
      <c r="K129" s="51" t="s">
        <v>374</v>
      </c>
      <c r="L129" s="51" t="s">
        <v>374</v>
      </c>
      <c r="M129" s="51" t="s">
        <v>374</v>
      </c>
      <c r="N129" s="21" t="s">
        <v>374</v>
      </c>
      <c r="O129" s="65" t="s">
        <v>374</v>
      </c>
      <c r="P129" s="65" t="s">
        <v>374</v>
      </c>
      <c r="S129" s="35"/>
      <c r="T129" s="35"/>
    </row>
    <row r="130" spans="1:20" ht="15.75" customHeight="1">
      <c r="A130" s="116" t="s">
        <v>161</v>
      </c>
      <c r="B130" s="26">
        <f t="shared" si="4"/>
        <v>623</v>
      </c>
      <c r="C130" s="65" t="s">
        <v>374</v>
      </c>
      <c r="D130" s="26" t="s">
        <v>374</v>
      </c>
      <c r="E130" s="65" t="s">
        <v>374</v>
      </c>
      <c r="F130" s="65" t="s">
        <v>374</v>
      </c>
      <c r="G130" s="134">
        <f>'c-12'!H42</f>
        <v>623</v>
      </c>
      <c r="H130" s="65" t="s">
        <v>374</v>
      </c>
      <c r="I130" s="65" t="s">
        <v>374</v>
      </c>
      <c r="J130" s="26" t="s">
        <v>374</v>
      </c>
      <c r="K130" s="65" t="s">
        <v>374</v>
      </c>
      <c r="L130" s="65" t="s">
        <v>374</v>
      </c>
      <c r="M130" s="65" t="s">
        <v>374</v>
      </c>
      <c r="N130" s="65" t="s">
        <v>374</v>
      </c>
      <c r="O130" s="65" t="s">
        <v>374</v>
      </c>
      <c r="P130" s="65" t="s">
        <v>374</v>
      </c>
      <c r="Q130" s="149"/>
    </row>
    <row r="131" spans="1:20" ht="15.75" customHeight="1">
      <c r="A131" s="120" t="s">
        <v>162</v>
      </c>
      <c r="B131" s="26">
        <f t="shared" si="4"/>
        <v>714</v>
      </c>
      <c r="C131" s="51" t="s">
        <v>374</v>
      </c>
      <c r="D131" s="51" t="s">
        <v>374</v>
      </c>
      <c r="E131" s="51" t="s">
        <v>374</v>
      </c>
      <c r="F131" s="51" t="s">
        <v>374</v>
      </c>
      <c r="G131" s="24">
        <f>'c-12'!H45</f>
        <v>714</v>
      </c>
      <c r="H131" s="51" t="s">
        <v>374</v>
      </c>
      <c r="I131" s="51" t="s">
        <v>374</v>
      </c>
      <c r="J131" s="51" t="s">
        <v>374</v>
      </c>
      <c r="K131" s="51" t="s">
        <v>374</v>
      </c>
      <c r="L131" s="51" t="s">
        <v>374</v>
      </c>
      <c r="M131" s="51" t="s">
        <v>374</v>
      </c>
      <c r="N131" s="21" t="s">
        <v>374</v>
      </c>
      <c r="O131" s="65" t="s">
        <v>374</v>
      </c>
      <c r="P131" s="65" t="s">
        <v>374</v>
      </c>
    </row>
    <row r="132" spans="1:20" ht="15.75" customHeight="1">
      <c r="A132" s="120" t="s">
        <v>163</v>
      </c>
      <c r="B132" s="26">
        <f t="shared" si="4"/>
        <v>719</v>
      </c>
      <c r="C132" s="51" t="s">
        <v>374</v>
      </c>
      <c r="D132" s="51" t="s">
        <v>374</v>
      </c>
      <c r="E132" s="51" t="s">
        <v>374</v>
      </c>
      <c r="F132" s="51" t="s">
        <v>374</v>
      </c>
      <c r="G132" s="24">
        <f>'c-12'!H48</f>
        <v>719</v>
      </c>
      <c r="H132" s="51" t="s">
        <v>374</v>
      </c>
      <c r="I132" s="51" t="s">
        <v>374</v>
      </c>
      <c r="J132" s="51" t="s">
        <v>374</v>
      </c>
      <c r="K132" s="51" t="s">
        <v>374</v>
      </c>
      <c r="L132" s="51" t="s">
        <v>374</v>
      </c>
      <c r="M132" s="51" t="s">
        <v>374</v>
      </c>
      <c r="N132" s="21" t="s">
        <v>374</v>
      </c>
      <c r="O132" s="65" t="s">
        <v>374</v>
      </c>
      <c r="P132" s="65" t="s">
        <v>374</v>
      </c>
    </row>
    <row r="133" spans="1:20" ht="15.75" customHeight="1">
      <c r="A133" s="143"/>
      <c r="B133" s="71"/>
      <c r="C133" s="71"/>
      <c r="D133" s="71"/>
      <c r="E133" s="71"/>
      <c r="F133" s="71"/>
      <c r="G133" s="136"/>
      <c r="H133" s="71"/>
      <c r="I133" s="71"/>
      <c r="J133" s="124"/>
      <c r="K133" s="71"/>
      <c r="L133" s="71"/>
      <c r="M133" s="71"/>
      <c r="N133" s="71"/>
      <c r="O133" s="71"/>
      <c r="P133" s="71"/>
    </row>
    <row r="134" spans="1:20" ht="15.75" customHeight="1">
      <c r="A134" s="138"/>
      <c r="B134" s="125"/>
      <c r="C134" s="94"/>
      <c r="D134" s="94"/>
      <c r="E134" s="94"/>
      <c r="F134" s="94"/>
      <c r="G134" s="139"/>
      <c r="H134" s="94"/>
      <c r="I134" s="94"/>
      <c r="J134" s="94"/>
      <c r="K134" s="94"/>
      <c r="L134" s="94"/>
      <c r="M134" s="94"/>
      <c r="N134" s="94"/>
      <c r="O134" s="94"/>
      <c r="P134" s="94"/>
    </row>
    <row r="135" spans="1:20" ht="15.75" customHeight="1">
      <c r="A135" s="138"/>
      <c r="B135" s="125"/>
      <c r="C135" s="94"/>
      <c r="D135" s="94"/>
      <c r="E135" s="94"/>
      <c r="F135" s="94"/>
      <c r="G135" s="139"/>
      <c r="H135" s="94"/>
      <c r="I135" s="94"/>
      <c r="J135" s="94"/>
      <c r="K135" s="94"/>
      <c r="L135" s="94"/>
      <c r="M135" s="94"/>
      <c r="N135" s="94"/>
      <c r="O135" s="94"/>
      <c r="P135" s="94"/>
    </row>
    <row r="136" spans="1:20" s="91" customFormat="1" ht="15.75" customHeight="1">
      <c r="A136" s="93" t="s">
        <v>525</v>
      </c>
      <c r="B136" s="146"/>
      <c r="C136" s="126"/>
      <c r="D136" s="126"/>
      <c r="E136" s="126"/>
      <c r="F136" s="126"/>
      <c r="G136" s="126"/>
      <c r="H136" s="126"/>
      <c r="I136" s="126"/>
      <c r="J136" s="126"/>
      <c r="K136" s="126"/>
      <c r="L136" s="126"/>
      <c r="M136" s="126"/>
      <c r="N136" s="126"/>
      <c r="O136" s="127"/>
      <c r="P136" s="127"/>
      <c r="S136" s="35"/>
      <c r="T136" s="35"/>
    </row>
    <row r="137" spans="1:20" s="91" customFormat="1" ht="0.75" customHeight="1">
      <c r="A137" s="128"/>
      <c r="B137" s="96"/>
      <c r="C137" s="454" t="s">
        <v>222</v>
      </c>
      <c r="D137" s="454"/>
      <c r="E137" s="454"/>
      <c r="F137" s="454"/>
      <c r="G137" s="454"/>
      <c r="H137" s="454"/>
      <c r="I137" s="454"/>
      <c r="J137" s="454"/>
      <c r="K137" s="454"/>
      <c r="L137" s="454"/>
      <c r="M137" s="454"/>
      <c r="N137" s="454"/>
      <c r="O137" s="454"/>
      <c r="P137" s="454"/>
      <c r="S137" s="35"/>
      <c r="T137" s="35"/>
    </row>
    <row r="138" spans="1:20" s="91" customFormat="1" ht="15.75" customHeight="1">
      <c r="A138" s="58" t="s">
        <v>359</v>
      </c>
      <c r="B138" s="97" t="s">
        <v>221</v>
      </c>
      <c r="C138" s="97" t="s">
        <v>333</v>
      </c>
      <c r="D138" s="97" t="s">
        <v>360</v>
      </c>
      <c r="E138" s="97" t="s">
        <v>361</v>
      </c>
      <c r="F138" s="97" t="s">
        <v>228</v>
      </c>
      <c r="G138" s="97" t="s">
        <v>362</v>
      </c>
      <c r="H138" s="97" t="s">
        <v>231</v>
      </c>
      <c r="I138" s="97" t="s">
        <v>232</v>
      </c>
      <c r="J138" s="97" t="s">
        <v>363</v>
      </c>
      <c r="K138" s="97" t="s">
        <v>235</v>
      </c>
      <c r="L138" s="97" t="s">
        <v>364</v>
      </c>
      <c r="M138" s="97" t="s">
        <v>365</v>
      </c>
      <c r="N138" s="98" t="s">
        <v>366</v>
      </c>
      <c r="O138" s="63" t="s">
        <v>367</v>
      </c>
      <c r="P138" s="63" t="s">
        <v>368</v>
      </c>
      <c r="S138" s="35"/>
      <c r="T138" s="35"/>
    </row>
    <row r="139" spans="1:20" s="91" customFormat="1" ht="15.75" customHeight="1">
      <c r="A139" s="129"/>
      <c r="B139" s="101"/>
      <c r="C139" s="101"/>
      <c r="D139" s="101"/>
      <c r="E139" s="102" t="s">
        <v>369</v>
      </c>
      <c r="F139" s="102"/>
      <c r="G139" s="102"/>
      <c r="H139" s="101"/>
      <c r="I139" s="102"/>
      <c r="J139" s="102" t="s">
        <v>370</v>
      </c>
      <c r="K139" s="101"/>
      <c r="L139" s="102" t="s">
        <v>371</v>
      </c>
      <c r="M139" s="102" t="s">
        <v>372</v>
      </c>
      <c r="N139" s="103" t="s">
        <v>373</v>
      </c>
      <c r="O139" s="104" t="s">
        <v>370</v>
      </c>
      <c r="P139" s="105"/>
      <c r="S139" s="35"/>
      <c r="T139" s="35"/>
    </row>
    <row r="140" spans="1:20" ht="15.75" customHeight="1">
      <c r="A140" s="120"/>
      <c r="B140" s="64"/>
      <c r="C140" s="51"/>
      <c r="D140" s="51"/>
      <c r="E140" s="51"/>
      <c r="F140" s="51"/>
      <c r="G140" s="24"/>
      <c r="H140" s="51"/>
      <c r="I140" s="51"/>
      <c r="J140" s="51"/>
      <c r="K140" s="51"/>
      <c r="L140" s="51"/>
      <c r="M140" s="51"/>
      <c r="N140" s="21"/>
      <c r="O140" s="65"/>
      <c r="P140" s="65"/>
    </row>
    <row r="141" spans="1:20" ht="15.75" customHeight="1">
      <c r="A141" s="106" t="s">
        <v>164</v>
      </c>
      <c r="B141" s="62">
        <f>SUM(B143:B151)</f>
        <v>20640</v>
      </c>
      <c r="C141" s="97" t="s">
        <v>374</v>
      </c>
      <c r="D141" s="97" t="s">
        <v>374</v>
      </c>
      <c r="E141" s="97" t="s">
        <v>374</v>
      </c>
      <c r="F141" s="97" t="s">
        <v>374</v>
      </c>
      <c r="G141" s="62" t="s">
        <v>374</v>
      </c>
      <c r="H141" s="97">
        <f>SUM(H143:H151)</f>
        <v>20640</v>
      </c>
      <c r="I141" s="97" t="s">
        <v>374</v>
      </c>
      <c r="J141" s="97" t="s">
        <v>374</v>
      </c>
      <c r="K141" s="97" t="s">
        <v>374</v>
      </c>
      <c r="L141" s="97" t="s">
        <v>374</v>
      </c>
      <c r="M141" s="97" t="s">
        <v>374</v>
      </c>
      <c r="N141" s="98" t="s">
        <v>374</v>
      </c>
      <c r="O141" s="112" t="s">
        <v>374</v>
      </c>
      <c r="P141" s="112" t="s">
        <v>374</v>
      </c>
    </row>
    <row r="142" spans="1:20" ht="15.75" customHeight="1">
      <c r="A142" s="120"/>
      <c r="B142" s="64"/>
      <c r="C142" s="51"/>
      <c r="D142" s="51"/>
      <c r="E142" s="51"/>
      <c r="F142" s="51"/>
      <c r="G142" s="26"/>
      <c r="H142" s="117"/>
      <c r="I142" s="51"/>
      <c r="J142" s="51"/>
      <c r="K142" s="51"/>
      <c r="L142" s="117"/>
      <c r="M142" s="51"/>
      <c r="N142" s="21"/>
      <c r="O142" s="65"/>
      <c r="P142" s="65"/>
    </row>
    <row r="143" spans="1:20" ht="15.75" customHeight="1">
      <c r="A143" s="120" t="s">
        <v>165</v>
      </c>
      <c r="B143" s="26">
        <f t="shared" ref="B143:B151" si="5">SUM(C143:P143)</f>
        <v>3206</v>
      </c>
      <c r="C143" s="117" t="s">
        <v>374</v>
      </c>
      <c r="D143" s="117" t="s">
        <v>374</v>
      </c>
      <c r="E143" s="117" t="s">
        <v>374</v>
      </c>
      <c r="F143" s="117" t="s">
        <v>374</v>
      </c>
      <c r="G143" s="64" t="s">
        <v>374</v>
      </c>
      <c r="H143" s="65">
        <f>'c-17'!G12</f>
        <v>3206</v>
      </c>
      <c r="I143" s="64" t="s">
        <v>374</v>
      </c>
      <c r="J143" s="117" t="s">
        <v>374</v>
      </c>
      <c r="K143" s="117" t="s">
        <v>374</v>
      </c>
      <c r="L143" s="117" t="s">
        <v>374</v>
      </c>
      <c r="M143" s="117" t="s">
        <v>374</v>
      </c>
      <c r="N143" s="118" t="s">
        <v>374</v>
      </c>
      <c r="O143" s="65" t="s">
        <v>374</v>
      </c>
      <c r="P143" s="65" t="s">
        <v>374</v>
      </c>
    </row>
    <row r="144" spans="1:20" ht="15.75" customHeight="1">
      <c r="A144" s="120" t="s">
        <v>526</v>
      </c>
      <c r="B144" s="26">
        <f t="shared" si="5"/>
        <v>4847</v>
      </c>
      <c r="C144" s="117" t="s">
        <v>374</v>
      </c>
      <c r="D144" s="117" t="s">
        <v>374</v>
      </c>
      <c r="E144" s="117" t="s">
        <v>374</v>
      </c>
      <c r="F144" s="117" t="s">
        <v>374</v>
      </c>
      <c r="G144" s="64" t="s">
        <v>374</v>
      </c>
      <c r="H144" s="65">
        <f>'c-17'!G22</f>
        <v>4847</v>
      </c>
      <c r="I144" s="64" t="s">
        <v>374</v>
      </c>
      <c r="J144" s="117" t="s">
        <v>374</v>
      </c>
      <c r="K144" s="117" t="s">
        <v>374</v>
      </c>
      <c r="L144" s="117" t="s">
        <v>374</v>
      </c>
      <c r="M144" s="117" t="s">
        <v>374</v>
      </c>
      <c r="N144" s="118" t="s">
        <v>374</v>
      </c>
      <c r="O144" s="65" t="s">
        <v>374</v>
      </c>
      <c r="P144" s="65" t="s">
        <v>374</v>
      </c>
    </row>
    <row r="145" spans="1:20" ht="15.75" customHeight="1">
      <c r="A145" s="120" t="s">
        <v>166</v>
      </c>
      <c r="B145" s="26">
        <f t="shared" si="5"/>
        <v>3975</v>
      </c>
      <c r="C145" s="117" t="s">
        <v>374</v>
      </c>
      <c r="D145" s="117" t="s">
        <v>374</v>
      </c>
      <c r="E145" s="117" t="s">
        <v>374</v>
      </c>
      <c r="F145" s="117" t="s">
        <v>374</v>
      </c>
      <c r="G145" s="64" t="s">
        <v>374</v>
      </c>
      <c r="H145" s="65">
        <f>'c-17'!G23</f>
        <v>3975</v>
      </c>
      <c r="I145" s="416" t="s">
        <v>374</v>
      </c>
      <c r="J145" s="117" t="s">
        <v>374</v>
      </c>
      <c r="K145" s="117" t="s">
        <v>374</v>
      </c>
      <c r="L145" s="117" t="s">
        <v>374</v>
      </c>
      <c r="M145" s="117" t="s">
        <v>374</v>
      </c>
      <c r="N145" s="118" t="s">
        <v>374</v>
      </c>
      <c r="O145" s="65" t="s">
        <v>374</v>
      </c>
      <c r="P145" s="65" t="s">
        <v>374</v>
      </c>
    </row>
    <row r="146" spans="1:20" ht="15.75" customHeight="1">
      <c r="A146" s="120" t="s">
        <v>167</v>
      </c>
      <c r="B146" s="26">
        <f t="shared" si="5"/>
        <v>1555</v>
      </c>
      <c r="C146" s="117" t="s">
        <v>374</v>
      </c>
      <c r="D146" s="117" t="s">
        <v>374</v>
      </c>
      <c r="E146" s="117" t="s">
        <v>374</v>
      </c>
      <c r="F146" s="117" t="s">
        <v>374</v>
      </c>
      <c r="G146" s="118" t="s">
        <v>374</v>
      </c>
      <c r="H146" s="24">
        <f>'c-17'!G37</f>
        <v>1555</v>
      </c>
      <c r="I146" s="117" t="s">
        <v>374</v>
      </c>
      <c r="J146" s="117" t="s">
        <v>374</v>
      </c>
      <c r="K146" s="117" t="s">
        <v>374</v>
      </c>
      <c r="L146" s="117" t="s">
        <v>374</v>
      </c>
      <c r="M146" s="117" t="s">
        <v>374</v>
      </c>
      <c r="N146" s="118" t="s">
        <v>374</v>
      </c>
      <c r="O146" s="65" t="s">
        <v>374</v>
      </c>
      <c r="P146" s="65" t="s">
        <v>374</v>
      </c>
    </row>
    <row r="147" spans="1:20" ht="15.75" customHeight="1">
      <c r="A147" s="120" t="s">
        <v>168</v>
      </c>
      <c r="B147" s="26">
        <f t="shared" si="5"/>
        <v>1157</v>
      </c>
      <c r="C147" s="117" t="s">
        <v>374</v>
      </c>
      <c r="D147" s="117" t="s">
        <v>374</v>
      </c>
      <c r="E147" s="117" t="s">
        <v>374</v>
      </c>
      <c r="F147" s="117" t="s">
        <v>374</v>
      </c>
      <c r="G147" s="118" t="s">
        <v>374</v>
      </c>
      <c r="H147" s="24">
        <f>'c-17'!G64</f>
        <v>1157</v>
      </c>
      <c r="I147" s="117" t="s">
        <v>374</v>
      </c>
      <c r="J147" s="117" t="s">
        <v>374</v>
      </c>
      <c r="K147" s="117" t="s">
        <v>374</v>
      </c>
      <c r="L147" s="117" t="s">
        <v>374</v>
      </c>
      <c r="M147" s="117" t="s">
        <v>374</v>
      </c>
      <c r="N147" s="118" t="s">
        <v>374</v>
      </c>
      <c r="O147" s="65" t="s">
        <v>374</v>
      </c>
      <c r="P147" s="65" t="s">
        <v>374</v>
      </c>
    </row>
    <row r="148" spans="1:20" ht="15.75" customHeight="1">
      <c r="A148" s="120" t="s">
        <v>169</v>
      </c>
      <c r="B148" s="26">
        <f t="shared" si="5"/>
        <v>707</v>
      </c>
      <c r="C148" s="117" t="s">
        <v>374</v>
      </c>
      <c r="D148" s="117" t="s">
        <v>374</v>
      </c>
      <c r="E148" s="117" t="s">
        <v>374</v>
      </c>
      <c r="F148" s="117" t="s">
        <v>374</v>
      </c>
      <c r="G148" s="118" t="s">
        <v>374</v>
      </c>
      <c r="H148" s="24">
        <f>'c-17'!G75</f>
        <v>707</v>
      </c>
      <c r="I148" s="117" t="s">
        <v>374</v>
      </c>
      <c r="J148" s="117" t="s">
        <v>374</v>
      </c>
      <c r="K148" s="117" t="s">
        <v>374</v>
      </c>
      <c r="L148" s="117" t="s">
        <v>374</v>
      </c>
      <c r="M148" s="117" t="s">
        <v>374</v>
      </c>
      <c r="N148" s="118" t="s">
        <v>374</v>
      </c>
      <c r="O148" s="65" t="s">
        <v>374</v>
      </c>
      <c r="P148" s="65" t="s">
        <v>374</v>
      </c>
    </row>
    <row r="149" spans="1:20" ht="15.75" customHeight="1">
      <c r="A149" s="120" t="s">
        <v>427</v>
      </c>
      <c r="B149" s="26">
        <f t="shared" si="5"/>
        <v>2041</v>
      </c>
      <c r="C149" s="117" t="s">
        <v>374</v>
      </c>
      <c r="D149" s="117" t="s">
        <v>374</v>
      </c>
      <c r="E149" s="117" t="s">
        <v>374</v>
      </c>
      <c r="F149" s="117" t="s">
        <v>374</v>
      </c>
      <c r="G149" s="118" t="s">
        <v>374</v>
      </c>
      <c r="H149" s="24">
        <f>'c-17'!G104</f>
        <v>2041</v>
      </c>
      <c r="I149" s="117" t="s">
        <v>374</v>
      </c>
      <c r="J149" s="117" t="s">
        <v>374</v>
      </c>
      <c r="K149" s="117" t="s">
        <v>374</v>
      </c>
      <c r="L149" s="117" t="s">
        <v>374</v>
      </c>
      <c r="M149" s="117" t="s">
        <v>374</v>
      </c>
      <c r="N149" s="118" t="s">
        <v>374</v>
      </c>
      <c r="O149" s="65" t="s">
        <v>374</v>
      </c>
      <c r="P149" s="65" t="s">
        <v>374</v>
      </c>
    </row>
    <row r="150" spans="1:20" ht="15.75" customHeight="1">
      <c r="A150" s="120" t="s">
        <v>170</v>
      </c>
      <c r="B150" s="26">
        <f t="shared" si="5"/>
        <v>1505</v>
      </c>
      <c r="C150" s="117" t="s">
        <v>374</v>
      </c>
      <c r="D150" s="117" t="s">
        <v>374</v>
      </c>
      <c r="E150" s="117" t="s">
        <v>374</v>
      </c>
      <c r="F150" s="117" t="s">
        <v>374</v>
      </c>
      <c r="G150" s="118" t="s">
        <v>374</v>
      </c>
      <c r="H150" s="24">
        <f>'c-17'!G132</f>
        <v>1505</v>
      </c>
      <c r="I150" s="117" t="s">
        <v>374</v>
      </c>
      <c r="J150" s="117" t="s">
        <v>374</v>
      </c>
      <c r="K150" s="117" t="s">
        <v>374</v>
      </c>
      <c r="L150" s="117" t="s">
        <v>374</v>
      </c>
      <c r="M150" s="117" t="s">
        <v>374</v>
      </c>
      <c r="N150" s="118" t="s">
        <v>374</v>
      </c>
      <c r="O150" s="65" t="s">
        <v>374</v>
      </c>
      <c r="P150" s="65" t="s">
        <v>374</v>
      </c>
    </row>
    <row r="151" spans="1:20" ht="15.75" customHeight="1">
      <c r="A151" s="120" t="s">
        <v>171</v>
      </c>
      <c r="B151" s="26">
        <f t="shared" si="5"/>
        <v>1647</v>
      </c>
      <c r="C151" s="117" t="s">
        <v>374</v>
      </c>
      <c r="D151" s="117" t="s">
        <v>374</v>
      </c>
      <c r="E151" s="117" t="s">
        <v>374</v>
      </c>
      <c r="F151" s="117" t="s">
        <v>374</v>
      </c>
      <c r="G151" s="118" t="s">
        <v>374</v>
      </c>
      <c r="H151" s="24">
        <f>'c-17'!G138</f>
        <v>1647</v>
      </c>
      <c r="I151" s="117" t="s">
        <v>374</v>
      </c>
      <c r="J151" s="117" t="s">
        <v>374</v>
      </c>
      <c r="K151" s="117" t="s">
        <v>374</v>
      </c>
      <c r="L151" s="117" t="s">
        <v>374</v>
      </c>
      <c r="M151" s="117" t="s">
        <v>374</v>
      </c>
      <c r="N151" s="118" t="s">
        <v>374</v>
      </c>
      <c r="O151" s="65" t="s">
        <v>374</v>
      </c>
      <c r="P151" s="65" t="s">
        <v>374</v>
      </c>
    </row>
    <row r="152" spans="1:20" ht="15.75" customHeight="1">
      <c r="A152" s="131" t="s">
        <v>172</v>
      </c>
      <c r="B152" s="26"/>
      <c r="C152" s="51"/>
      <c r="D152" s="51"/>
      <c r="E152" s="51"/>
      <c r="F152" s="51"/>
      <c r="G152" s="51"/>
      <c r="H152" s="51"/>
      <c r="I152" s="51"/>
      <c r="J152" s="51"/>
      <c r="K152" s="51"/>
      <c r="L152" s="117"/>
      <c r="M152" s="51"/>
      <c r="N152" s="21"/>
      <c r="O152" s="19"/>
      <c r="P152" s="19"/>
    </row>
    <row r="153" spans="1:20" ht="15.75" customHeight="1">
      <c r="A153" s="106" t="s">
        <v>527</v>
      </c>
      <c r="B153" s="62">
        <f>SUM(B155:B192)</f>
        <v>26091</v>
      </c>
      <c r="C153" s="97" t="s">
        <v>374</v>
      </c>
      <c r="D153" s="97" t="s">
        <v>374</v>
      </c>
      <c r="E153" s="97" t="s">
        <v>374</v>
      </c>
      <c r="F153" s="97" t="s">
        <v>374</v>
      </c>
      <c r="G153" s="97" t="s">
        <v>374</v>
      </c>
      <c r="H153" s="97" t="s">
        <v>374</v>
      </c>
      <c r="I153" s="62">
        <f>SUM(I155:I192)</f>
        <v>26091</v>
      </c>
      <c r="J153" s="97" t="s">
        <v>374</v>
      </c>
      <c r="K153" s="97" t="s">
        <v>374</v>
      </c>
      <c r="L153" s="97" t="s">
        <v>374</v>
      </c>
      <c r="M153" s="97" t="s">
        <v>374</v>
      </c>
      <c r="N153" s="98" t="s">
        <v>374</v>
      </c>
      <c r="O153" s="112" t="s">
        <v>374</v>
      </c>
      <c r="P153" s="112" t="s">
        <v>374</v>
      </c>
    </row>
    <row r="154" spans="1:20" ht="15.75" customHeight="1">
      <c r="A154" s="120"/>
      <c r="B154" s="64"/>
      <c r="C154" s="51"/>
      <c r="D154" s="51"/>
      <c r="E154" s="51"/>
      <c r="F154" s="51"/>
      <c r="G154" s="51"/>
      <c r="H154" s="51"/>
      <c r="I154" s="64"/>
      <c r="J154" s="51"/>
      <c r="K154" s="51"/>
      <c r="L154" s="117"/>
      <c r="M154" s="51"/>
      <c r="N154" s="21"/>
      <c r="O154" s="65"/>
      <c r="P154" s="65"/>
    </row>
    <row r="155" spans="1:20" ht="15.75" customHeight="1">
      <c r="A155" s="120" t="s">
        <v>891</v>
      </c>
      <c r="B155" s="26">
        <f t="shared" ref="B155:B192" si="6">SUM(C155:P155)</f>
        <v>3372</v>
      </c>
      <c r="C155" s="117" t="s">
        <v>374</v>
      </c>
      <c r="D155" s="117" t="s">
        <v>374</v>
      </c>
      <c r="E155" s="117" t="s">
        <v>374</v>
      </c>
      <c r="F155" s="117" t="s">
        <v>374</v>
      </c>
      <c r="G155" s="117" t="s">
        <v>374</v>
      </c>
      <c r="H155" s="117" t="s">
        <v>374</v>
      </c>
      <c r="I155" s="24">
        <f>'c-19'!G12</f>
        <v>3372</v>
      </c>
      <c r="J155" s="117" t="s">
        <v>374</v>
      </c>
      <c r="K155" s="117" t="s">
        <v>374</v>
      </c>
      <c r="L155" s="117" t="s">
        <v>374</v>
      </c>
      <c r="M155" s="117" t="s">
        <v>374</v>
      </c>
      <c r="N155" s="118" t="s">
        <v>374</v>
      </c>
      <c r="O155" s="65" t="s">
        <v>374</v>
      </c>
      <c r="P155" s="65" t="s">
        <v>374</v>
      </c>
    </row>
    <row r="156" spans="1:20" ht="15.75" customHeight="1">
      <c r="A156" s="131" t="s">
        <v>893</v>
      </c>
      <c r="B156" s="26">
        <f t="shared" si="6"/>
        <v>688</v>
      </c>
      <c r="C156" s="117" t="s">
        <v>374</v>
      </c>
      <c r="D156" s="117" t="s">
        <v>374</v>
      </c>
      <c r="E156" s="117" t="s">
        <v>374</v>
      </c>
      <c r="F156" s="117" t="s">
        <v>374</v>
      </c>
      <c r="G156" s="117" t="s">
        <v>374</v>
      </c>
      <c r="H156" s="117" t="s">
        <v>374</v>
      </c>
      <c r="I156" s="24">
        <f>'c-19'!G19</f>
        <v>688</v>
      </c>
      <c r="J156" s="117" t="s">
        <v>374</v>
      </c>
      <c r="K156" s="117" t="s">
        <v>374</v>
      </c>
      <c r="L156" s="117" t="s">
        <v>374</v>
      </c>
      <c r="M156" s="117" t="s">
        <v>374</v>
      </c>
      <c r="N156" s="118" t="s">
        <v>374</v>
      </c>
      <c r="O156" s="65" t="s">
        <v>374</v>
      </c>
      <c r="P156" s="65" t="s">
        <v>374</v>
      </c>
    </row>
    <row r="157" spans="1:20" ht="15.75" customHeight="1">
      <c r="A157" s="120" t="s">
        <v>425</v>
      </c>
      <c r="B157" s="26">
        <f t="shared" si="6"/>
        <v>862</v>
      </c>
      <c r="C157" s="117" t="s">
        <v>374</v>
      </c>
      <c r="D157" s="117" t="s">
        <v>374</v>
      </c>
      <c r="E157" s="117" t="s">
        <v>374</v>
      </c>
      <c r="F157" s="117" t="s">
        <v>374</v>
      </c>
      <c r="G157" s="117" t="s">
        <v>374</v>
      </c>
      <c r="H157" s="117" t="s">
        <v>374</v>
      </c>
      <c r="I157" s="24">
        <f>'c-19'!G20</f>
        <v>862</v>
      </c>
      <c r="J157" s="117" t="s">
        <v>374</v>
      </c>
      <c r="K157" s="117" t="s">
        <v>374</v>
      </c>
      <c r="L157" s="117" t="s">
        <v>374</v>
      </c>
      <c r="M157" s="117" t="s">
        <v>374</v>
      </c>
      <c r="N157" s="118" t="s">
        <v>374</v>
      </c>
      <c r="O157" s="65" t="s">
        <v>374</v>
      </c>
      <c r="P157" s="65" t="s">
        <v>374</v>
      </c>
      <c r="S157" s="91"/>
      <c r="T157" s="91"/>
    </row>
    <row r="158" spans="1:20" ht="15.75" customHeight="1">
      <c r="A158" s="120" t="s">
        <v>173</v>
      </c>
      <c r="B158" s="26">
        <f t="shared" si="6"/>
        <v>1195</v>
      </c>
      <c r="C158" s="117" t="s">
        <v>374</v>
      </c>
      <c r="D158" s="117" t="s">
        <v>374</v>
      </c>
      <c r="E158" s="117" t="s">
        <v>374</v>
      </c>
      <c r="F158" s="117" t="s">
        <v>374</v>
      </c>
      <c r="G158" s="117" t="s">
        <v>374</v>
      </c>
      <c r="H158" s="117" t="s">
        <v>374</v>
      </c>
      <c r="I158" s="24">
        <f>'c-19'!G21</f>
        <v>1195</v>
      </c>
      <c r="J158" s="117" t="s">
        <v>374</v>
      </c>
      <c r="K158" s="117" t="s">
        <v>374</v>
      </c>
      <c r="L158" s="117" t="s">
        <v>374</v>
      </c>
      <c r="M158" s="117" t="s">
        <v>374</v>
      </c>
      <c r="N158" s="118" t="s">
        <v>374</v>
      </c>
      <c r="O158" s="65" t="s">
        <v>374</v>
      </c>
      <c r="P158" s="65" t="s">
        <v>374</v>
      </c>
    </row>
    <row r="159" spans="1:20" ht="15.75" customHeight="1">
      <c r="A159" s="120" t="s">
        <v>174</v>
      </c>
      <c r="B159" s="26">
        <f t="shared" si="6"/>
        <v>257</v>
      </c>
      <c r="C159" s="117" t="s">
        <v>374</v>
      </c>
      <c r="D159" s="117" t="s">
        <v>374</v>
      </c>
      <c r="E159" s="117" t="s">
        <v>374</v>
      </c>
      <c r="F159" s="117" t="s">
        <v>374</v>
      </c>
      <c r="G159" s="117" t="s">
        <v>374</v>
      </c>
      <c r="H159" s="117" t="s">
        <v>374</v>
      </c>
      <c r="I159" s="24">
        <f>'c-19'!G13</f>
        <v>257</v>
      </c>
      <c r="J159" s="117" t="s">
        <v>374</v>
      </c>
      <c r="K159" s="117" t="s">
        <v>374</v>
      </c>
      <c r="L159" s="117" t="s">
        <v>374</v>
      </c>
      <c r="M159" s="117" t="s">
        <v>374</v>
      </c>
      <c r="N159" s="118" t="s">
        <v>374</v>
      </c>
      <c r="O159" s="65" t="s">
        <v>374</v>
      </c>
      <c r="P159" s="65" t="s">
        <v>374</v>
      </c>
    </row>
    <row r="160" spans="1:20" ht="15.75" customHeight="1">
      <c r="A160" s="120" t="s">
        <v>468</v>
      </c>
      <c r="B160" s="26">
        <f t="shared" si="6"/>
        <v>959</v>
      </c>
      <c r="C160" s="117" t="s">
        <v>374</v>
      </c>
      <c r="D160" s="117" t="s">
        <v>374</v>
      </c>
      <c r="E160" s="117" t="s">
        <v>374</v>
      </c>
      <c r="F160" s="117" t="s">
        <v>374</v>
      </c>
      <c r="G160" s="117" t="s">
        <v>374</v>
      </c>
      <c r="H160" s="117" t="s">
        <v>374</v>
      </c>
      <c r="I160" s="24">
        <f>'c-19'!G16</f>
        <v>959</v>
      </c>
      <c r="J160" s="117" t="s">
        <v>374</v>
      </c>
      <c r="K160" s="117" t="s">
        <v>374</v>
      </c>
      <c r="L160" s="117" t="s">
        <v>374</v>
      </c>
      <c r="M160" s="117" t="s">
        <v>374</v>
      </c>
      <c r="N160" s="118" t="s">
        <v>374</v>
      </c>
      <c r="O160" s="65" t="s">
        <v>374</v>
      </c>
      <c r="P160" s="65" t="s">
        <v>374</v>
      </c>
    </row>
    <row r="161" spans="1:20" ht="15.75" customHeight="1">
      <c r="A161" s="120" t="s">
        <v>175</v>
      </c>
      <c r="B161" s="26">
        <f t="shared" si="6"/>
        <v>295</v>
      </c>
      <c r="C161" s="117" t="s">
        <v>374</v>
      </c>
      <c r="D161" s="117" t="s">
        <v>374</v>
      </c>
      <c r="E161" s="117" t="s">
        <v>374</v>
      </c>
      <c r="F161" s="117" t="s">
        <v>374</v>
      </c>
      <c r="G161" s="117" t="s">
        <v>374</v>
      </c>
      <c r="H161" s="117" t="s">
        <v>374</v>
      </c>
      <c r="I161" s="24">
        <f>'c-19'!G62</f>
        <v>295</v>
      </c>
      <c r="J161" s="117" t="s">
        <v>374</v>
      </c>
      <c r="K161" s="117" t="s">
        <v>374</v>
      </c>
      <c r="L161" s="117" t="s">
        <v>374</v>
      </c>
      <c r="M161" s="117" t="s">
        <v>374</v>
      </c>
      <c r="N161" s="118" t="s">
        <v>374</v>
      </c>
      <c r="O161" s="65" t="s">
        <v>374</v>
      </c>
      <c r="P161" s="65" t="s">
        <v>374</v>
      </c>
      <c r="S161" s="91"/>
      <c r="T161" s="91"/>
    </row>
    <row r="162" spans="1:20" ht="15.75" customHeight="1">
      <c r="A162" s="120" t="s">
        <v>450</v>
      </c>
      <c r="B162" s="26">
        <f t="shared" si="6"/>
        <v>1952</v>
      </c>
      <c r="C162" s="117" t="s">
        <v>374</v>
      </c>
      <c r="D162" s="117" t="s">
        <v>374</v>
      </c>
      <c r="E162" s="117" t="s">
        <v>374</v>
      </c>
      <c r="F162" s="117" t="s">
        <v>374</v>
      </c>
      <c r="G162" s="117" t="s">
        <v>374</v>
      </c>
      <c r="H162" s="117" t="s">
        <v>374</v>
      </c>
      <c r="I162" s="24">
        <f>'c-19'!G24</f>
        <v>1952</v>
      </c>
      <c r="J162" s="117" t="s">
        <v>374</v>
      </c>
      <c r="K162" s="117" t="s">
        <v>374</v>
      </c>
      <c r="L162" s="117" t="s">
        <v>374</v>
      </c>
      <c r="M162" s="117" t="s">
        <v>374</v>
      </c>
      <c r="N162" s="118" t="s">
        <v>374</v>
      </c>
      <c r="O162" s="65" t="s">
        <v>374</v>
      </c>
      <c r="P162" s="65" t="s">
        <v>374</v>
      </c>
    </row>
    <row r="163" spans="1:20" ht="15.75" customHeight="1">
      <c r="A163" s="120" t="s">
        <v>176</v>
      </c>
      <c r="B163" s="26">
        <f t="shared" si="6"/>
        <v>148</v>
      </c>
      <c r="C163" s="117" t="s">
        <v>374</v>
      </c>
      <c r="D163" s="117" t="s">
        <v>374</v>
      </c>
      <c r="E163" s="117" t="s">
        <v>374</v>
      </c>
      <c r="F163" s="117" t="s">
        <v>374</v>
      </c>
      <c r="G163" s="117" t="s">
        <v>374</v>
      </c>
      <c r="H163" s="117" t="s">
        <v>374</v>
      </c>
      <c r="I163" s="24">
        <f>'c-19'!G25</f>
        <v>148</v>
      </c>
      <c r="J163" s="117" t="s">
        <v>374</v>
      </c>
      <c r="K163" s="117" t="s">
        <v>374</v>
      </c>
      <c r="L163" s="117" t="s">
        <v>374</v>
      </c>
      <c r="M163" s="117" t="s">
        <v>374</v>
      </c>
      <c r="N163" s="118" t="s">
        <v>374</v>
      </c>
      <c r="O163" s="65" t="s">
        <v>374</v>
      </c>
      <c r="P163" s="65" t="s">
        <v>374</v>
      </c>
    </row>
    <row r="164" spans="1:20" ht="15.75" customHeight="1">
      <c r="A164" s="120" t="s">
        <v>177</v>
      </c>
      <c r="B164" s="26">
        <f t="shared" si="6"/>
        <v>316</v>
      </c>
      <c r="C164" s="117" t="s">
        <v>374</v>
      </c>
      <c r="D164" s="117" t="s">
        <v>374</v>
      </c>
      <c r="E164" s="117" t="s">
        <v>374</v>
      </c>
      <c r="F164" s="117" t="s">
        <v>374</v>
      </c>
      <c r="G164" s="117" t="s">
        <v>374</v>
      </c>
      <c r="H164" s="117" t="s">
        <v>374</v>
      </c>
      <c r="I164" s="24">
        <f>'c-19'!G34</f>
        <v>316</v>
      </c>
      <c r="J164" s="117" t="s">
        <v>374</v>
      </c>
      <c r="K164" s="117" t="s">
        <v>374</v>
      </c>
      <c r="L164" s="117" t="s">
        <v>374</v>
      </c>
      <c r="M164" s="117" t="s">
        <v>374</v>
      </c>
      <c r="N164" s="118" t="s">
        <v>374</v>
      </c>
      <c r="O164" s="65" t="s">
        <v>374</v>
      </c>
      <c r="P164" s="65" t="s">
        <v>374</v>
      </c>
    </row>
    <row r="165" spans="1:20" ht="15.75" customHeight="1">
      <c r="A165" s="120" t="s">
        <v>178</v>
      </c>
      <c r="B165" s="26">
        <f t="shared" si="6"/>
        <v>416</v>
      </c>
      <c r="C165" s="117" t="s">
        <v>374</v>
      </c>
      <c r="D165" s="117" t="s">
        <v>374</v>
      </c>
      <c r="E165" s="117" t="s">
        <v>374</v>
      </c>
      <c r="F165" s="117" t="s">
        <v>374</v>
      </c>
      <c r="G165" s="117" t="s">
        <v>374</v>
      </c>
      <c r="H165" s="117" t="s">
        <v>374</v>
      </c>
      <c r="I165" s="24">
        <f>'c-19'!G35</f>
        <v>416</v>
      </c>
      <c r="J165" s="117" t="s">
        <v>374</v>
      </c>
      <c r="K165" s="117" t="s">
        <v>374</v>
      </c>
      <c r="L165" s="117" t="s">
        <v>374</v>
      </c>
      <c r="M165" s="117" t="s">
        <v>374</v>
      </c>
      <c r="N165" s="118" t="s">
        <v>374</v>
      </c>
      <c r="O165" s="65" t="s">
        <v>374</v>
      </c>
      <c r="P165" s="65" t="s">
        <v>374</v>
      </c>
    </row>
    <row r="166" spans="1:20" ht="15.75" customHeight="1">
      <c r="A166" s="120" t="s">
        <v>179</v>
      </c>
      <c r="B166" s="26">
        <f t="shared" si="6"/>
        <v>445</v>
      </c>
      <c r="C166" s="117" t="s">
        <v>374</v>
      </c>
      <c r="D166" s="117" t="s">
        <v>374</v>
      </c>
      <c r="E166" s="117" t="s">
        <v>374</v>
      </c>
      <c r="F166" s="117" t="s">
        <v>374</v>
      </c>
      <c r="G166" s="117" t="s">
        <v>374</v>
      </c>
      <c r="H166" s="117" t="s">
        <v>374</v>
      </c>
      <c r="I166" s="24">
        <f>'c-19'!G28</f>
        <v>445</v>
      </c>
      <c r="J166" s="117" t="s">
        <v>374</v>
      </c>
      <c r="K166" s="117" t="s">
        <v>374</v>
      </c>
      <c r="L166" s="117" t="s">
        <v>374</v>
      </c>
      <c r="M166" s="117" t="s">
        <v>374</v>
      </c>
      <c r="N166" s="118" t="s">
        <v>374</v>
      </c>
      <c r="O166" s="65" t="s">
        <v>374</v>
      </c>
      <c r="P166" s="65" t="s">
        <v>374</v>
      </c>
    </row>
    <row r="167" spans="1:20" ht="15.75" customHeight="1">
      <c r="A167" s="120" t="s">
        <v>180</v>
      </c>
      <c r="B167" s="26">
        <f t="shared" si="6"/>
        <v>88</v>
      </c>
      <c r="C167" s="117" t="s">
        <v>374</v>
      </c>
      <c r="D167" s="117" t="s">
        <v>374</v>
      </c>
      <c r="E167" s="117" t="s">
        <v>374</v>
      </c>
      <c r="F167" s="117" t="s">
        <v>374</v>
      </c>
      <c r="G167" s="117" t="s">
        <v>374</v>
      </c>
      <c r="H167" s="117" t="s">
        <v>374</v>
      </c>
      <c r="I167" s="24">
        <f>'c-19'!G30</f>
        <v>88</v>
      </c>
      <c r="J167" s="117" t="s">
        <v>374</v>
      </c>
      <c r="K167" s="117" t="s">
        <v>374</v>
      </c>
      <c r="L167" s="117" t="s">
        <v>374</v>
      </c>
      <c r="M167" s="117" t="s">
        <v>374</v>
      </c>
      <c r="N167" s="118" t="s">
        <v>374</v>
      </c>
      <c r="O167" s="65" t="s">
        <v>374</v>
      </c>
      <c r="P167" s="65" t="s">
        <v>374</v>
      </c>
    </row>
    <row r="168" spans="1:20" ht="15.75" customHeight="1">
      <c r="A168" s="131" t="s">
        <v>681</v>
      </c>
      <c r="B168" s="26">
        <f t="shared" si="6"/>
        <v>245</v>
      </c>
      <c r="C168" s="117" t="s">
        <v>374</v>
      </c>
      <c r="D168" s="117" t="s">
        <v>374</v>
      </c>
      <c r="E168" s="117" t="s">
        <v>374</v>
      </c>
      <c r="F168" s="117" t="s">
        <v>374</v>
      </c>
      <c r="G168" s="117" t="s">
        <v>374</v>
      </c>
      <c r="H168" s="117" t="s">
        <v>374</v>
      </c>
      <c r="I168" s="24">
        <f>'c-19'!G29</f>
        <v>245</v>
      </c>
      <c r="J168" s="117" t="s">
        <v>374</v>
      </c>
      <c r="K168" s="117" t="s">
        <v>374</v>
      </c>
      <c r="L168" s="117" t="s">
        <v>374</v>
      </c>
      <c r="M168" s="117" t="s">
        <v>374</v>
      </c>
      <c r="N168" s="118" t="s">
        <v>374</v>
      </c>
      <c r="O168" s="65" t="s">
        <v>374</v>
      </c>
      <c r="P168" s="65" t="s">
        <v>374</v>
      </c>
    </row>
    <row r="169" spans="1:20" ht="15.75" customHeight="1">
      <c r="A169" s="131" t="s">
        <v>682</v>
      </c>
      <c r="B169" s="26">
        <f t="shared" si="6"/>
        <v>73</v>
      </c>
      <c r="C169" s="117" t="s">
        <v>374</v>
      </c>
      <c r="D169" s="117" t="s">
        <v>374</v>
      </c>
      <c r="E169" s="117" t="s">
        <v>374</v>
      </c>
      <c r="F169" s="117" t="s">
        <v>374</v>
      </c>
      <c r="G169" s="117" t="s">
        <v>374</v>
      </c>
      <c r="H169" s="117" t="s">
        <v>374</v>
      </c>
      <c r="I169" s="24">
        <f>'c-19'!G31</f>
        <v>73</v>
      </c>
      <c r="J169" s="117" t="s">
        <v>374</v>
      </c>
      <c r="K169" s="117" t="s">
        <v>374</v>
      </c>
      <c r="L169" s="117" t="s">
        <v>374</v>
      </c>
      <c r="M169" s="117" t="s">
        <v>374</v>
      </c>
      <c r="N169" s="118" t="s">
        <v>374</v>
      </c>
      <c r="O169" s="65" t="s">
        <v>374</v>
      </c>
      <c r="P169" s="65" t="s">
        <v>374</v>
      </c>
    </row>
    <row r="170" spans="1:20" ht="15.75" customHeight="1">
      <c r="A170" s="131" t="s">
        <v>157</v>
      </c>
      <c r="B170" s="26">
        <f t="shared" si="6"/>
        <v>939</v>
      </c>
      <c r="C170" s="117" t="s">
        <v>374</v>
      </c>
      <c r="D170" s="117" t="s">
        <v>374</v>
      </c>
      <c r="E170" s="117" t="s">
        <v>374</v>
      </c>
      <c r="F170" s="117" t="s">
        <v>374</v>
      </c>
      <c r="G170" s="117" t="s">
        <v>374</v>
      </c>
      <c r="H170" s="117" t="s">
        <v>374</v>
      </c>
      <c r="I170" s="24">
        <f>'c-19'!G38</f>
        <v>939</v>
      </c>
      <c r="J170" s="117" t="s">
        <v>374</v>
      </c>
      <c r="K170" s="117" t="s">
        <v>374</v>
      </c>
      <c r="L170" s="117" t="s">
        <v>374</v>
      </c>
      <c r="M170" s="117" t="s">
        <v>374</v>
      </c>
      <c r="N170" s="118" t="s">
        <v>374</v>
      </c>
      <c r="O170" s="65" t="s">
        <v>374</v>
      </c>
      <c r="P170" s="65" t="s">
        <v>374</v>
      </c>
    </row>
    <row r="171" spans="1:20" ht="15.75" customHeight="1">
      <c r="A171" s="131" t="s">
        <v>181</v>
      </c>
      <c r="B171" s="26">
        <f t="shared" si="6"/>
        <v>1419</v>
      </c>
      <c r="C171" s="117" t="s">
        <v>374</v>
      </c>
      <c r="D171" s="117" t="s">
        <v>374</v>
      </c>
      <c r="E171" s="117" t="s">
        <v>374</v>
      </c>
      <c r="F171" s="117" t="s">
        <v>374</v>
      </c>
      <c r="G171" s="117" t="s">
        <v>374</v>
      </c>
      <c r="H171" s="117" t="s">
        <v>374</v>
      </c>
      <c r="I171" s="24">
        <f>'c-19'!G39</f>
        <v>1419</v>
      </c>
      <c r="J171" s="117" t="s">
        <v>374</v>
      </c>
      <c r="K171" s="117" t="s">
        <v>374</v>
      </c>
      <c r="L171" s="117" t="s">
        <v>374</v>
      </c>
      <c r="M171" s="117" t="s">
        <v>374</v>
      </c>
      <c r="N171" s="118" t="s">
        <v>374</v>
      </c>
      <c r="O171" s="65" t="s">
        <v>374</v>
      </c>
      <c r="P171" s="65" t="s">
        <v>374</v>
      </c>
    </row>
    <row r="172" spans="1:20" ht="15.75" customHeight="1">
      <c r="A172" s="131" t="s">
        <v>182</v>
      </c>
      <c r="B172" s="26">
        <f t="shared" si="6"/>
        <v>318</v>
      </c>
      <c r="C172" s="117" t="s">
        <v>374</v>
      </c>
      <c r="D172" s="117" t="s">
        <v>374</v>
      </c>
      <c r="E172" s="117" t="s">
        <v>374</v>
      </c>
      <c r="F172" s="117" t="s">
        <v>374</v>
      </c>
      <c r="G172" s="117" t="s">
        <v>374</v>
      </c>
      <c r="H172" s="117" t="s">
        <v>374</v>
      </c>
      <c r="I172" s="24">
        <f>'c-19'!G40</f>
        <v>318</v>
      </c>
      <c r="J172" s="117" t="s">
        <v>374</v>
      </c>
      <c r="K172" s="117" t="s">
        <v>374</v>
      </c>
      <c r="L172" s="117" t="s">
        <v>374</v>
      </c>
      <c r="M172" s="117" t="s">
        <v>374</v>
      </c>
      <c r="N172" s="118" t="s">
        <v>374</v>
      </c>
      <c r="O172" s="65" t="s">
        <v>374</v>
      </c>
      <c r="P172" s="65" t="s">
        <v>374</v>
      </c>
    </row>
    <row r="173" spans="1:20" ht="15.75" customHeight="1">
      <c r="A173" s="131" t="s">
        <v>426</v>
      </c>
      <c r="B173" s="26">
        <f t="shared" si="6"/>
        <v>2675</v>
      </c>
      <c r="C173" s="117" t="s">
        <v>374</v>
      </c>
      <c r="D173" s="117" t="s">
        <v>374</v>
      </c>
      <c r="E173" s="117" t="s">
        <v>374</v>
      </c>
      <c r="F173" s="117" t="s">
        <v>374</v>
      </c>
      <c r="G173" s="117" t="s">
        <v>374</v>
      </c>
      <c r="H173" s="117" t="s">
        <v>374</v>
      </c>
      <c r="I173" s="24">
        <f>'c-19'!G43</f>
        <v>2675</v>
      </c>
      <c r="J173" s="117" t="s">
        <v>374</v>
      </c>
      <c r="K173" s="117" t="s">
        <v>374</v>
      </c>
      <c r="L173" s="117" t="s">
        <v>374</v>
      </c>
      <c r="M173" s="117" t="s">
        <v>374</v>
      </c>
      <c r="N173" s="118" t="s">
        <v>374</v>
      </c>
      <c r="O173" s="65" t="s">
        <v>374</v>
      </c>
      <c r="P173" s="65" t="s">
        <v>374</v>
      </c>
    </row>
    <row r="174" spans="1:20" ht="15.75" customHeight="1">
      <c r="A174" s="131" t="s">
        <v>183</v>
      </c>
      <c r="B174" s="26">
        <f t="shared" si="6"/>
        <v>259</v>
      </c>
      <c r="C174" s="117" t="s">
        <v>374</v>
      </c>
      <c r="D174" s="117" t="s">
        <v>374</v>
      </c>
      <c r="E174" s="117" t="s">
        <v>374</v>
      </c>
      <c r="F174" s="117" t="s">
        <v>374</v>
      </c>
      <c r="G174" s="117" t="s">
        <v>374</v>
      </c>
      <c r="H174" s="117" t="s">
        <v>374</v>
      </c>
      <c r="I174" s="24">
        <f>'c-19'!G44</f>
        <v>259</v>
      </c>
      <c r="J174" s="117" t="s">
        <v>374</v>
      </c>
      <c r="K174" s="117" t="s">
        <v>374</v>
      </c>
      <c r="L174" s="117" t="s">
        <v>374</v>
      </c>
      <c r="M174" s="117" t="s">
        <v>374</v>
      </c>
      <c r="N174" s="118" t="s">
        <v>374</v>
      </c>
      <c r="O174" s="65" t="s">
        <v>374</v>
      </c>
      <c r="P174" s="65" t="s">
        <v>374</v>
      </c>
    </row>
    <row r="175" spans="1:20" ht="15.75" customHeight="1">
      <c r="A175" s="131" t="s">
        <v>184</v>
      </c>
      <c r="B175" s="26">
        <f t="shared" si="6"/>
        <v>396</v>
      </c>
      <c r="C175" s="117" t="s">
        <v>374</v>
      </c>
      <c r="D175" s="117" t="s">
        <v>374</v>
      </c>
      <c r="E175" s="117" t="s">
        <v>374</v>
      </c>
      <c r="F175" s="117" t="s">
        <v>374</v>
      </c>
      <c r="G175" s="117" t="s">
        <v>374</v>
      </c>
      <c r="H175" s="117" t="s">
        <v>374</v>
      </c>
      <c r="I175" s="24">
        <f>'c-19'!G45</f>
        <v>396</v>
      </c>
      <c r="J175" s="117" t="s">
        <v>374</v>
      </c>
      <c r="K175" s="117" t="s">
        <v>374</v>
      </c>
      <c r="L175" s="117" t="s">
        <v>374</v>
      </c>
      <c r="M175" s="117" t="s">
        <v>374</v>
      </c>
      <c r="N175" s="118" t="s">
        <v>374</v>
      </c>
      <c r="O175" s="65" t="s">
        <v>374</v>
      </c>
      <c r="P175" s="65" t="s">
        <v>374</v>
      </c>
    </row>
    <row r="176" spans="1:20" ht="15.75" customHeight="1">
      <c r="A176" s="131" t="s">
        <v>185</v>
      </c>
      <c r="B176" s="26">
        <f t="shared" si="6"/>
        <v>862</v>
      </c>
      <c r="C176" s="117" t="s">
        <v>374</v>
      </c>
      <c r="D176" s="117" t="s">
        <v>374</v>
      </c>
      <c r="E176" s="117" t="s">
        <v>374</v>
      </c>
      <c r="F176" s="117" t="s">
        <v>374</v>
      </c>
      <c r="G176" s="117" t="s">
        <v>374</v>
      </c>
      <c r="H176" s="117" t="s">
        <v>374</v>
      </c>
      <c r="I176" s="24">
        <f>'c-19'!G48</f>
        <v>862</v>
      </c>
      <c r="J176" s="117" t="s">
        <v>374</v>
      </c>
      <c r="K176" s="117" t="s">
        <v>374</v>
      </c>
      <c r="L176" s="117" t="s">
        <v>374</v>
      </c>
      <c r="M176" s="117" t="s">
        <v>374</v>
      </c>
      <c r="N176" s="118" t="s">
        <v>374</v>
      </c>
      <c r="O176" s="65" t="s">
        <v>374</v>
      </c>
      <c r="P176" s="65" t="s">
        <v>374</v>
      </c>
    </row>
    <row r="177" spans="1:20" ht="15.75" customHeight="1">
      <c r="A177" s="131" t="s">
        <v>186</v>
      </c>
      <c r="B177" s="26">
        <f t="shared" si="6"/>
        <v>400</v>
      </c>
      <c r="C177" s="117" t="s">
        <v>374</v>
      </c>
      <c r="D177" s="117" t="s">
        <v>374</v>
      </c>
      <c r="E177" s="117" t="s">
        <v>374</v>
      </c>
      <c r="F177" s="117" t="s">
        <v>374</v>
      </c>
      <c r="G177" s="117" t="s">
        <v>374</v>
      </c>
      <c r="H177" s="117" t="s">
        <v>374</v>
      </c>
      <c r="I177" s="24">
        <f>'c-19'!G49</f>
        <v>400</v>
      </c>
      <c r="J177" s="117" t="s">
        <v>374</v>
      </c>
      <c r="K177" s="117" t="s">
        <v>374</v>
      </c>
      <c r="L177" s="117" t="s">
        <v>374</v>
      </c>
      <c r="M177" s="117" t="s">
        <v>374</v>
      </c>
      <c r="N177" s="118" t="s">
        <v>374</v>
      </c>
      <c r="O177" s="65" t="s">
        <v>374</v>
      </c>
      <c r="P177" s="65" t="s">
        <v>374</v>
      </c>
    </row>
    <row r="178" spans="1:20" ht="15.75" customHeight="1">
      <c r="A178" s="131" t="s">
        <v>187</v>
      </c>
      <c r="B178" s="26">
        <f t="shared" si="6"/>
        <v>448</v>
      </c>
      <c r="C178" s="117" t="s">
        <v>374</v>
      </c>
      <c r="D178" s="117" t="s">
        <v>374</v>
      </c>
      <c r="E178" s="117" t="s">
        <v>374</v>
      </c>
      <c r="F178" s="117" t="s">
        <v>374</v>
      </c>
      <c r="G178" s="117" t="s">
        <v>374</v>
      </c>
      <c r="H178" s="117" t="s">
        <v>374</v>
      </c>
      <c r="I178" s="24">
        <f>'c-19'!G52</f>
        <v>448</v>
      </c>
      <c r="J178" s="117" t="s">
        <v>374</v>
      </c>
      <c r="K178" s="117" t="s">
        <v>374</v>
      </c>
      <c r="L178" s="117" t="s">
        <v>374</v>
      </c>
      <c r="M178" s="117" t="s">
        <v>374</v>
      </c>
      <c r="N178" s="118" t="s">
        <v>374</v>
      </c>
      <c r="O178" s="65" t="s">
        <v>374</v>
      </c>
      <c r="P178" s="65" t="s">
        <v>374</v>
      </c>
    </row>
    <row r="179" spans="1:20" ht="15.75" customHeight="1">
      <c r="A179" s="131" t="s">
        <v>188</v>
      </c>
      <c r="B179" s="26">
        <f t="shared" si="6"/>
        <v>631</v>
      </c>
      <c r="C179" s="117" t="s">
        <v>374</v>
      </c>
      <c r="D179" s="117" t="s">
        <v>374</v>
      </c>
      <c r="E179" s="117" t="s">
        <v>374</v>
      </c>
      <c r="F179" s="117" t="s">
        <v>374</v>
      </c>
      <c r="G179" s="117" t="s">
        <v>374</v>
      </c>
      <c r="H179" s="117" t="s">
        <v>374</v>
      </c>
      <c r="I179" s="24">
        <f>'c-19'!G53</f>
        <v>631</v>
      </c>
      <c r="J179" s="117" t="s">
        <v>374</v>
      </c>
      <c r="K179" s="117" t="s">
        <v>374</v>
      </c>
      <c r="L179" s="117" t="s">
        <v>374</v>
      </c>
      <c r="M179" s="117" t="s">
        <v>374</v>
      </c>
      <c r="N179" s="118" t="s">
        <v>374</v>
      </c>
      <c r="O179" s="65" t="s">
        <v>374</v>
      </c>
      <c r="P179" s="65" t="s">
        <v>374</v>
      </c>
    </row>
    <row r="180" spans="1:20" ht="15.75" customHeight="1">
      <c r="A180" s="131" t="s">
        <v>189</v>
      </c>
      <c r="B180" s="26">
        <f t="shared" si="6"/>
        <v>704</v>
      </c>
      <c r="C180" s="117" t="s">
        <v>374</v>
      </c>
      <c r="D180" s="117" t="s">
        <v>374</v>
      </c>
      <c r="E180" s="117" t="s">
        <v>374</v>
      </c>
      <c r="F180" s="117" t="s">
        <v>374</v>
      </c>
      <c r="G180" s="117" t="s">
        <v>374</v>
      </c>
      <c r="H180" s="117" t="s">
        <v>374</v>
      </c>
      <c r="I180" s="24">
        <f>'c-19'!G56</f>
        <v>704</v>
      </c>
      <c r="J180" s="117" t="s">
        <v>374</v>
      </c>
      <c r="K180" s="117" t="s">
        <v>374</v>
      </c>
      <c r="L180" s="117" t="s">
        <v>374</v>
      </c>
      <c r="M180" s="117" t="s">
        <v>374</v>
      </c>
      <c r="N180" s="118" t="s">
        <v>374</v>
      </c>
      <c r="O180" s="65" t="s">
        <v>374</v>
      </c>
      <c r="P180" s="65" t="s">
        <v>374</v>
      </c>
    </row>
    <row r="181" spans="1:20" ht="15.75" customHeight="1">
      <c r="A181" s="131" t="s">
        <v>190</v>
      </c>
      <c r="B181" s="26">
        <f t="shared" si="6"/>
        <v>258</v>
      </c>
      <c r="C181" s="117" t="s">
        <v>374</v>
      </c>
      <c r="D181" s="117" t="s">
        <v>374</v>
      </c>
      <c r="E181" s="117" t="s">
        <v>374</v>
      </c>
      <c r="F181" s="117" t="s">
        <v>374</v>
      </c>
      <c r="G181" s="117" t="s">
        <v>374</v>
      </c>
      <c r="H181" s="117" t="s">
        <v>374</v>
      </c>
      <c r="I181" s="24">
        <f>'c-19'!G57</f>
        <v>258</v>
      </c>
      <c r="J181" s="117" t="s">
        <v>374</v>
      </c>
      <c r="K181" s="117" t="s">
        <v>374</v>
      </c>
      <c r="L181" s="117" t="s">
        <v>374</v>
      </c>
      <c r="M181" s="117" t="s">
        <v>374</v>
      </c>
      <c r="N181" s="118" t="s">
        <v>374</v>
      </c>
      <c r="O181" s="65" t="s">
        <v>374</v>
      </c>
      <c r="P181" s="65" t="s">
        <v>374</v>
      </c>
    </row>
    <row r="182" spans="1:20" ht="15.75" customHeight="1">
      <c r="A182" s="131" t="s">
        <v>191</v>
      </c>
      <c r="B182" s="26">
        <f t="shared" si="6"/>
        <v>226</v>
      </c>
      <c r="C182" s="117" t="s">
        <v>374</v>
      </c>
      <c r="D182" s="117" t="s">
        <v>374</v>
      </c>
      <c r="E182" s="117" t="s">
        <v>374</v>
      </c>
      <c r="F182" s="117" t="s">
        <v>374</v>
      </c>
      <c r="G182" s="117" t="s">
        <v>374</v>
      </c>
      <c r="H182" s="117" t="s">
        <v>374</v>
      </c>
      <c r="I182" s="24">
        <f>'c-19'!G58</f>
        <v>226</v>
      </c>
      <c r="J182" s="117" t="s">
        <v>374</v>
      </c>
      <c r="K182" s="117" t="s">
        <v>374</v>
      </c>
      <c r="L182" s="117" t="s">
        <v>374</v>
      </c>
      <c r="M182" s="117" t="s">
        <v>374</v>
      </c>
      <c r="N182" s="118" t="s">
        <v>374</v>
      </c>
      <c r="O182" s="65" t="s">
        <v>374</v>
      </c>
      <c r="P182" s="65" t="s">
        <v>374</v>
      </c>
    </row>
    <row r="183" spans="1:20" ht="15.75" customHeight="1">
      <c r="A183" s="131" t="s">
        <v>889</v>
      </c>
      <c r="B183" s="26">
        <f>SUM(C183:P183)</f>
        <v>97</v>
      </c>
      <c r="C183" s="117" t="s">
        <v>374</v>
      </c>
      <c r="D183" s="117" t="s">
        <v>374</v>
      </c>
      <c r="E183" s="117" t="s">
        <v>374</v>
      </c>
      <c r="F183" s="117" t="s">
        <v>374</v>
      </c>
      <c r="G183" s="117" t="s">
        <v>374</v>
      </c>
      <c r="H183" s="117" t="s">
        <v>374</v>
      </c>
      <c r="I183" s="24">
        <f>'c-19'!G59</f>
        <v>97</v>
      </c>
      <c r="J183" s="117" t="s">
        <v>374</v>
      </c>
      <c r="K183" s="117" t="s">
        <v>374</v>
      </c>
      <c r="L183" s="117" t="s">
        <v>374</v>
      </c>
      <c r="M183" s="117" t="s">
        <v>374</v>
      </c>
      <c r="N183" s="118" t="s">
        <v>374</v>
      </c>
      <c r="O183" s="65" t="s">
        <v>374</v>
      </c>
      <c r="P183" s="65" t="s">
        <v>374</v>
      </c>
    </row>
    <row r="184" spans="1:20" ht="15.75" customHeight="1">
      <c r="A184" s="131" t="s">
        <v>581</v>
      </c>
      <c r="B184" s="26">
        <f t="shared" si="6"/>
        <v>281</v>
      </c>
      <c r="C184" s="117" t="s">
        <v>374</v>
      </c>
      <c r="D184" s="117" t="s">
        <v>374</v>
      </c>
      <c r="E184" s="117" t="s">
        <v>374</v>
      </c>
      <c r="F184" s="117" t="s">
        <v>374</v>
      </c>
      <c r="G184" s="117" t="s">
        <v>374</v>
      </c>
      <c r="H184" s="117" t="s">
        <v>374</v>
      </c>
      <c r="I184" s="24">
        <f>'c-19'!G67</f>
        <v>281</v>
      </c>
      <c r="J184" s="117" t="s">
        <v>374</v>
      </c>
      <c r="K184" s="117" t="s">
        <v>374</v>
      </c>
      <c r="L184" s="117" t="s">
        <v>374</v>
      </c>
      <c r="M184" s="117" t="s">
        <v>374</v>
      </c>
      <c r="N184" s="118" t="s">
        <v>374</v>
      </c>
      <c r="O184" s="65" t="s">
        <v>374</v>
      </c>
      <c r="P184" s="65" t="s">
        <v>374</v>
      </c>
    </row>
    <row r="185" spans="1:20" ht="15.75" customHeight="1">
      <c r="A185" s="131" t="s">
        <v>582</v>
      </c>
      <c r="B185" s="26">
        <f t="shared" si="6"/>
        <v>298</v>
      </c>
      <c r="C185" s="117" t="s">
        <v>374</v>
      </c>
      <c r="D185" s="117" t="s">
        <v>374</v>
      </c>
      <c r="E185" s="117" t="s">
        <v>374</v>
      </c>
      <c r="F185" s="117" t="s">
        <v>374</v>
      </c>
      <c r="G185" s="117" t="s">
        <v>374</v>
      </c>
      <c r="H185" s="117" t="s">
        <v>374</v>
      </c>
      <c r="I185" s="24">
        <f>'c-19'!G68</f>
        <v>298</v>
      </c>
      <c r="J185" s="117" t="s">
        <v>374</v>
      </c>
      <c r="K185" s="117" t="s">
        <v>374</v>
      </c>
      <c r="L185" s="117" t="s">
        <v>374</v>
      </c>
      <c r="M185" s="117" t="s">
        <v>374</v>
      </c>
      <c r="N185" s="118" t="s">
        <v>374</v>
      </c>
      <c r="O185" s="65" t="s">
        <v>374</v>
      </c>
      <c r="P185" s="65" t="s">
        <v>374</v>
      </c>
    </row>
    <row r="186" spans="1:20" ht="15.75" customHeight="1">
      <c r="A186" s="131" t="s">
        <v>192</v>
      </c>
      <c r="B186" s="26">
        <f t="shared" si="6"/>
        <v>110</v>
      </c>
      <c r="C186" s="117" t="s">
        <v>374</v>
      </c>
      <c r="D186" s="117" t="s">
        <v>374</v>
      </c>
      <c r="E186" s="117" t="s">
        <v>374</v>
      </c>
      <c r="F186" s="117" t="s">
        <v>374</v>
      </c>
      <c r="G186" s="117" t="s">
        <v>374</v>
      </c>
      <c r="H186" s="117" t="s">
        <v>374</v>
      </c>
      <c r="I186" s="24">
        <f>'c-19'!G66</f>
        <v>110</v>
      </c>
      <c r="J186" s="117" t="s">
        <v>374</v>
      </c>
      <c r="K186" s="117" t="s">
        <v>374</v>
      </c>
      <c r="L186" s="117" t="s">
        <v>374</v>
      </c>
      <c r="M186" s="117" t="s">
        <v>374</v>
      </c>
      <c r="N186" s="118" t="s">
        <v>374</v>
      </c>
      <c r="O186" s="65" t="s">
        <v>374</v>
      </c>
      <c r="P186" s="65" t="s">
        <v>374</v>
      </c>
      <c r="S186" s="91"/>
      <c r="T186" s="91"/>
    </row>
    <row r="187" spans="1:20" ht="15.75" customHeight="1">
      <c r="A187" s="131" t="s">
        <v>683</v>
      </c>
      <c r="B187" s="26">
        <f t="shared" si="6"/>
        <v>250</v>
      </c>
      <c r="C187" s="117" t="s">
        <v>374</v>
      </c>
      <c r="D187" s="117" t="s">
        <v>374</v>
      </c>
      <c r="E187" s="117" t="s">
        <v>374</v>
      </c>
      <c r="F187" s="117" t="s">
        <v>374</v>
      </c>
      <c r="G187" s="117" t="s">
        <v>374</v>
      </c>
      <c r="H187" s="117" t="s">
        <v>374</v>
      </c>
      <c r="I187" s="24">
        <f>'c-19'!G63</f>
        <v>250</v>
      </c>
      <c r="J187" s="117" t="s">
        <v>374</v>
      </c>
      <c r="K187" s="117" t="s">
        <v>374</v>
      </c>
      <c r="L187" s="117" t="s">
        <v>374</v>
      </c>
      <c r="M187" s="117" t="s">
        <v>374</v>
      </c>
      <c r="N187" s="118" t="s">
        <v>374</v>
      </c>
      <c r="O187" s="65" t="s">
        <v>374</v>
      </c>
      <c r="P187" s="65" t="s">
        <v>374</v>
      </c>
    </row>
    <row r="188" spans="1:20" ht="15.75" customHeight="1">
      <c r="A188" s="131" t="s">
        <v>477</v>
      </c>
      <c r="B188" s="26">
        <f t="shared" si="6"/>
        <v>86</v>
      </c>
      <c r="C188" s="117" t="s">
        <v>374</v>
      </c>
      <c r="D188" s="117" t="s">
        <v>374</v>
      </c>
      <c r="E188" s="117" t="s">
        <v>374</v>
      </c>
      <c r="F188" s="117" t="s">
        <v>374</v>
      </c>
      <c r="G188" s="117" t="s">
        <v>374</v>
      </c>
      <c r="H188" s="117" t="s">
        <v>374</v>
      </c>
      <c r="I188" s="24">
        <f>'c-19'!G69</f>
        <v>86</v>
      </c>
      <c r="J188" s="117" t="s">
        <v>374</v>
      </c>
      <c r="K188" s="117" t="s">
        <v>374</v>
      </c>
      <c r="L188" s="117" t="s">
        <v>374</v>
      </c>
      <c r="M188" s="117" t="s">
        <v>374</v>
      </c>
      <c r="N188" s="118" t="s">
        <v>374</v>
      </c>
      <c r="O188" s="65" t="s">
        <v>374</v>
      </c>
      <c r="P188" s="65" t="s">
        <v>374</v>
      </c>
    </row>
    <row r="189" spans="1:20" s="91" customFormat="1" ht="15.75" customHeight="1">
      <c r="A189" s="120" t="s">
        <v>478</v>
      </c>
      <c r="B189" s="26">
        <f t="shared" si="6"/>
        <v>685</v>
      </c>
      <c r="C189" s="117" t="s">
        <v>374</v>
      </c>
      <c r="D189" s="117" t="s">
        <v>374</v>
      </c>
      <c r="E189" s="117" t="s">
        <v>374</v>
      </c>
      <c r="F189" s="117" t="s">
        <v>374</v>
      </c>
      <c r="G189" s="117" t="s">
        <v>374</v>
      </c>
      <c r="H189" s="117" t="s">
        <v>374</v>
      </c>
      <c r="I189" s="24">
        <f>'c-19'!G72</f>
        <v>685</v>
      </c>
      <c r="J189" s="117" t="s">
        <v>374</v>
      </c>
      <c r="K189" s="117" t="s">
        <v>374</v>
      </c>
      <c r="L189" s="117" t="s">
        <v>374</v>
      </c>
      <c r="M189" s="117" t="s">
        <v>374</v>
      </c>
      <c r="N189" s="118" t="s">
        <v>374</v>
      </c>
      <c r="O189" s="65" t="s">
        <v>374</v>
      </c>
      <c r="P189" s="65" t="s">
        <v>374</v>
      </c>
      <c r="S189" s="35"/>
      <c r="T189" s="35"/>
    </row>
    <row r="190" spans="1:20" ht="15.75" customHeight="1">
      <c r="A190" s="120" t="s">
        <v>479</v>
      </c>
      <c r="B190" s="26">
        <f t="shared" si="6"/>
        <v>2700</v>
      </c>
      <c r="C190" s="117" t="s">
        <v>374</v>
      </c>
      <c r="D190" s="117" t="s">
        <v>374</v>
      </c>
      <c r="E190" s="117" t="s">
        <v>374</v>
      </c>
      <c r="F190" s="117" t="s">
        <v>374</v>
      </c>
      <c r="G190" s="117" t="s">
        <v>374</v>
      </c>
      <c r="H190" s="117" t="s">
        <v>374</v>
      </c>
      <c r="I190" s="24">
        <f>'c-19'!G76</f>
        <v>2700</v>
      </c>
      <c r="J190" s="117" t="s">
        <v>374</v>
      </c>
      <c r="K190" s="117" t="s">
        <v>374</v>
      </c>
      <c r="L190" s="117" t="s">
        <v>374</v>
      </c>
      <c r="M190" s="117" t="s">
        <v>374</v>
      </c>
      <c r="N190" s="118" t="s">
        <v>374</v>
      </c>
      <c r="O190" s="65" t="s">
        <v>374</v>
      </c>
      <c r="P190" s="65" t="s">
        <v>374</v>
      </c>
    </row>
    <row r="191" spans="1:20" ht="15.75" customHeight="1">
      <c r="A191" s="120" t="s">
        <v>480</v>
      </c>
      <c r="B191" s="26">
        <f t="shared" si="6"/>
        <v>297</v>
      </c>
      <c r="C191" s="117" t="s">
        <v>374</v>
      </c>
      <c r="D191" s="117" t="s">
        <v>374</v>
      </c>
      <c r="E191" s="117" t="s">
        <v>374</v>
      </c>
      <c r="F191" s="117" t="s">
        <v>374</v>
      </c>
      <c r="G191" s="117" t="s">
        <v>374</v>
      </c>
      <c r="H191" s="117" t="s">
        <v>374</v>
      </c>
      <c r="I191" s="24">
        <f>'c-19'!G73</f>
        <v>297</v>
      </c>
      <c r="J191" s="117" t="s">
        <v>374</v>
      </c>
      <c r="K191" s="117" t="s">
        <v>374</v>
      </c>
      <c r="L191" s="117" t="s">
        <v>374</v>
      </c>
      <c r="M191" s="117" t="s">
        <v>374</v>
      </c>
      <c r="N191" s="118" t="s">
        <v>374</v>
      </c>
      <c r="O191" s="65" t="s">
        <v>374</v>
      </c>
      <c r="P191" s="65" t="s">
        <v>374</v>
      </c>
    </row>
    <row r="192" spans="1:20" ht="15.75" customHeight="1">
      <c r="A192" s="131" t="s">
        <v>481</v>
      </c>
      <c r="B192" s="26">
        <f t="shared" si="6"/>
        <v>441</v>
      </c>
      <c r="C192" s="117" t="s">
        <v>374</v>
      </c>
      <c r="D192" s="117" t="s">
        <v>374</v>
      </c>
      <c r="E192" s="117" t="s">
        <v>374</v>
      </c>
      <c r="F192" s="117" t="s">
        <v>374</v>
      </c>
      <c r="G192" s="117" t="s">
        <v>374</v>
      </c>
      <c r="H192" s="118" t="s">
        <v>374</v>
      </c>
      <c r="I192" s="24">
        <f>'c-19'!G77</f>
        <v>441</v>
      </c>
      <c r="J192" s="64" t="s">
        <v>374</v>
      </c>
      <c r="K192" s="117" t="s">
        <v>374</v>
      </c>
      <c r="L192" s="117" t="s">
        <v>374</v>
      </c>
      <c r="M192" s="117" t="s">
        <v>374</v>
      </c>
      <c r="N192" s="118" t="s">
        <v>374</v>
      </c>
      <c r="O192" s="65" t="s">
        <v>374</v>
      </c>
      <c r="P192" s="65" t="s">
        <v>374</v>
      </c>
    </row>
    <row r="193" spans="1:20" s="91" customFormat="1" ht="15.75" customHeight="1">
      <c r="A193" s="113"/>
      <c r="B193" s="26"/>
      <c r="C193" s="51"/>
      <c r="D193" s="51"/>
      <c r="E193" s="51"/>
      <c r="F193" s="51"/>
      <c r="G193" s="51"/>
      <c r="H193" s="51"/>
      <c r="I193" s="117"/>
      <c r="J193" s="51"/>
      <c r="K193" s="51"/>
      <c r="L193" s="117"/>
      <c r="M193" s="51"/>
      <c r="N193" s="21"/>
      <c r="O193" s="65"/>
      <c r="P193" s="65"/>
      <c r="S193" s="35"/>
      <c r="T193" s="35"/>
    </row>
    <row r="194" spans="1:20" ht="15.75" customHeight="1">
      <c r="A194" s="106" t="s">
        <v>482</v>
      </c>
      <c r="B194" s="62">
        <f>SUM(B196:B202)</f>
        <v>5945</v>
      </c>
      <c r="C194" s="97" t="s">
        <v>374</v>
      </c>
      <c r="D194" s="97" t="s">
        <v>374</v>
      </c>
      <c r="E194" s="97" t="s">
        <v>374</v>
      </c>
      <c r="F194" s="97" t="s">
        <v>374</v>
      </c>
      <c r="G194" s="97" t="s">
        <v>374</v>
      </c>
      <c r="H194" s="97" t="s">
        <v>374</v>
      </c>
      <c r="I194" s="97" t="s">
        <v>374</v>
      </c>
      <c r="J194" s="97" t="s">
        <v>374</v>
      </c>
      <c r="K194" s="97" t="s">
        <v>374</v>
      </c>
      <c r="L194" s="97" t="s">
        <v>374</v>
      </c>
      <c r="M194" s="62">
        <f>SUM(M196:M203)</f>
        <v>6764</v>
      </c>
      <c r="N194" s="98" t="s">
        <v>374</v>
      </c>
      <c r="O194" s="112" t="s">
        <v>374</v>
      </c>
      <c r="P194" s="112" t="s">
        <v>374</v>
      </c>
    </row>
    <row r="195" spans="1:20" ht="15.75" customHeight="1">
      <c r="A195" s="120"/>
      <c r="B195" s="64"/>
      <c r="C195" s="51"/>
      <c r="D195" s="51"/>
      <c r="E195" s="51"/>
      <c r="F195" s="51"/>
      <c r="G195" s="51"/>
      <c r="H195" s="51"/>
      <c r="I195" s="51"/>
      <c r="J195" s="51"/>
      <c r="K195" s="51"/>
      <c r="L195" s="117"/>
      <c r="M195" s="117"/>
      <c r="N195" s="21"/>
      <c r="O195" s="65"/>
      <c r="P195" s="65"/>
    </row>
    <row r="196" spans="1:20" ht="15.75" customHeight="1">
      <c r="A196" s="120" t="s">
        <v>483</v>
      </c>
      <c r="B196" s="26">
        <f t="shared" ref="B196:B203" si="7">SUM(C196:P196)</f>
        <v>2924</v>
      </c>
      <c r="C196" s="117" t="s">
        <v>374</v>
      </c>
      <c r="D196" s="117" t="s">
        <v>374</v>
      </c>
      <c r="E196" s="117" t="s">
        <v>374</v>
      </c>
      <c r="F196" s="117" t="s">
        <v>374</v>
      </c>
      <c r="G196" s="117" t="s">
        <v>374</v>
      </c>
      <c r="H196" s="117" t="s">
        <v>374</v>
      </c>
      <c r="I196" s="117" t="s">
        <v>374</v>
      </c>
      <c r="J196" s="117" t="s">
        <v>374</v>
      </c>
      <c r="K196" s="117" t="s">
        <v>374</v>
      </c>
      <c r="L196" s="117" t="s">
        <v>374</v>
      </c>
      <c r="M196" s="24">
        <f>'c-22'!G12</f>
        <v>2924</v>
      </c>
      <c r="N196" s="118" t="s">
        <v>374</v>
      </c>
      <c r="O196" s="65" t="s">
        <v>374</v>
      </c>
      <c r="P196" s="65" t="s">
        <v>374</v>
      </c>
    </row>
    <row r="197" spans="1:20" ht="15.75" customHeight="1">
      <c r="A197" s="120" t="s">
        <v>450</v>
      </c>
      <c r="B197" s="26">
        <f t="shared" si="7"/>
        <v>301</v>
      </c>
      <c r="C197" s="117" t="s">
        <v>374</v>
      </c>
      <c r="D197" s="117" t="s">
        <v>374</v>
      </c>
      <c r="E197" s="117" t="s">
        <v>374</v>
      </c>
      <c r="F197" s="117" t="s">
        <v>374</v>
      </c>
      <c r="G197" s="117" t="s">
        <v>374</v>
      </c>
      <c r="H197" s="117" t="s">
        <v>374</v>
      </c>
      <c r="I197" s="117" t="s">
        <v>374</v>
      </c>
      <c r="J197" s="117" t="s">
        <v>374</v>
      </c>
      <c r="K197" s="117" t="s">
        <v>374</v>
      </c>
      <c r="L197" s="117" t="s">
        <v>374</v>
      </c>
      <c r="M197" s="24">
        <f>'c-22'!G16</f>
        <v>301</v>
      </c>
      <c r="N197" s="118" t="s">
        <v>374</v>
      </c>
      <c r="O197" s="65" t="s">
        <v>374</v>
      </c>
      <c r="P197" s="65" t="s">
        <v>374</v>
      </c>
    </row>
    <row r="198" spans="1:20" ht="15.75" customHeight="1">
      <c r="A198" s="120" t="s">
        <v>1037</v>
      </c>
      <c r="B198" s="26">
        <f t="shared" si="7"/>
        <v>357</v>
      </c>
      <c r="C198" s="117" t="s">
        <v>374</v>
      </c>
      <c r="D198" s="117" t="s">
        <v>374</v>
      </c>
      <c r="E198" s="117" t="s">
        <v>374</v>
      </c>
      <c r="F198" s="117" t="s">
        <v>374</v>
      </c>
      <c r="G198" s="117" t="s">
        <v>374</v>
      </c>
      <c r="H198" s="117" t="s">
        <v>374</v>
      </c>
      <c r="I198" s="117" t="s">
        <v>374</v>
      </c>
      <c r="J198" s="117" t="s">
        <v>374</v>
      </c>
      <c r="K198" s="117" t="s">
        <v>374</v>
      </c>
      <c r="L198" s="117" t="s">
        <v>374</v>
      </c>
      <c r="M198" s="24">
        <f>'c-22'!G19</f>
        <v>357</v>
      </c>
      <c r="N198" s="117" t="s">
        <v>374</v>
      </c>
      <c r="O198" s="117" t="s">
        <v>374</v>
      </c>
      <c r="P198" s="65" t="s">
        <v>374</v>
      </c>
    </row>
    <row r="199" spans="1:20" ht="15.75" customHeight="1">
      <c r="A199" s="120" t="s">
        <v>451</v>
      </c>
      <c r="B199" s="26">
        <f t="shared" si="7"/>
        <v>435</v>
      </c>
      <c r="C199" s="117" t="s">
        <v>374</v>
      </c>
      <c r="D199" s="117" t="s">
        <v>374</v>
      </c>
      <c r="E199" s="117" t="s">
        <v>374</v>
      </c>
      <c r="F199" s="117" t="s">
        <v>374</v>
      </c>
      <c r="G199" s="117" t="s">
        <v>374</v>
      </c>
      <c r="H199" s="117" t="s">
        <v>374</v>
      </c>
      <c r="I199" s="117" t="s">
        <v>374</v>
      </c>
      <c r="J199" s="117" t="s">
        <v>374</v>
      </c>
      <c r="K199" s="117" t="s">
        <v>374</v>
      </c>
      <c r="L199" s="117" t="s">
        <v>374</v>
      </c>
      <c r="M199" s="24">
        <f>'c-22'!G27</f>
        <v>435</v>
      </c>
      <c r="N199" s="118" t="s">
        <v>374</v>
      </c>
      <c r="O199" s="65" t="s">
        <v>374</v>
      </c>
      <c r="P199" s="65" t="s">
        <v>374</v>
      </c>
    </row>
    <row r="200" spans="1:20" ht="15.75" customHeight="1">
      <c r="A200" s="120" t="s">
        <v>426</v>
      </c>
      <c r="B200" s="26">
        <f t="shared" si="7"/>
        <v>771</v>
      </c>
      <c r="C200" s="117" t="s">
        <v>374</v>
      </c>
      <c r="D200" s="117" t="s">
        <v>374</v>
      </c>
      <c r="E200" s="117" t="s">
        <v>374</v>
      </c>
      <c r="F200" s="117" t="s">
        <v>374</v>
      </c>
      <c r="G200" s="117" t="s">
        <v>374</v>
      </c>
      <c r="H200" s="117" t="s">
        <v>374</v>
      </c>
      <c r="I200" s="117" t="s">
        <v>374</v>
      </c>
      <c r="J200" s="117" t="s">
        <v>374</v>
      </c>
      <c r="K200" s="117" t="s">
        <v>374</v>
      </c>
      <c r="L200" s="117" t="s">
        <v>374</v>
      </c>
      <c r="M200" s="24">
        <f>'c-22'!G31</f>
        <v>771</v>
      </c>
      <c r="N200" s="118" t="s">
        <v>374</v>
      </c>
      <c r="O200" s="65" t="s">
        <v>374</v>
      </c>
      <c r="P200" s="65" t="s">
        <v>374</v>
      </c>
    </row>
    <row r="201" spans="1:20" ht="15.75" customHeight="1">
      <c r="A201" s="120" t="s">
        <v>427</v>
      </c>
      <c r="B201" s="26">
        <f t="shared" si="7"/>
        <v>294</v>
      </c>
      <c r="C201" s="117" t="s">
        <v>374</v>
      </c>
      <c r="D201" s="117" t="s">
        <v>374</v>
      </c>
      <c r="E201" s="117" t="s">
        <v>374</v>
      </c>
      <c r="F201" s="117" t="s">
        <v>374</v>
      </c>
      <c r="G201" s="117" t="s">
        <v>374</v>
      </c>
      <c r="H201" s="117" t="s">
        <v>374</v>
      </c>
      <c r="I201" s="117" t="s">
        <v>374</v>
      </c>
      <c r="J201" s="117" t="s">
        <v>374</v>
      </c>
      <c r="K201" s="117" t="s">
        <v>374</v>
      </c>
      <c r="L201" s="117" t="s">
        <v>374</v>
      </c>
      <c r="M201" s="24">
        <f>'c-22'!G43</f>
        <v>294</v>
      </c>
      <c r="N201" s="118" t="s">
        <v>374</v>
      </c>
      <c r="O201" s="65" t="s">
        <v>374</v>
      </c>
      <c r="P201" s="65" t="s">
        <v>374</v>
      </c>
    </row>
    <row r="202" spans="1:20" ht="15.75" customHeight="1">
      <c r="A202" s="120" t="s">
        <v>890</v>
      </c>
      <c r="B202" s="26">
        <f t="shared" si="7"/>
        <v>863</v>
      </c>
      <c r="C202" s="117" t="s">
        <v>374</v>
      </c>
      <c r="D202" s="117" t="s">
        <v>374</v>
      </c>
      <c r="E202" s="117" t="s">
        <v>374</v>
      </c>
      <c r="F202" s="117" t="s">
        <v>374</v>
      </c>
      <c r="G202" s="117" t="s">
        <v>374</v>
      </c>
      <c r="H202" s="117" t="s">
        <v>374</v>
      </c>
      <c r="I202" s="117" t="s">
        <v>374</v>
      </c>
      <c r="J202" s="117" t="s">
        <v>374</v>
      </c>
      <c r="K202" s="117" t="s">
        <v>374</v>
      </c>
      <c r="L202" s="117" t="s">
        <v>374</v>
      </c>
      <c r="M202" s="24">
        <f>'c-22'!G56</f>
        <v>863</v>
      </c>
      <c r="N202" s="118" t="s">
        <v>374</v>
      </c>
      <c r="O202" s="65" t="s">
        <v>374</v>
      </c>
      <c r="P202" s="65" t="s">
        <v>374</v>
      </c>
    </row>
    <row r="203" spans="1:20" ht="15.75" customHeight="1">
      <c r="A203" s="120" t="s">
        <v>1017</v>
      </c>
      <c r="B203" s="26">
        <f t="shared" si="7"/>
        <v>819</v>
      </c>
      <c r="C203" s="117" t="s">
        <v>374</v>
      </c>
      <c r="D203" s="117" t="s">
        <v>374</v>
      </c>
      <c r="E203" s="117" t="s">
        <v>374</v>
      </c>
      <c r="F203" s="117" t="s">
        <v>374</v>
      </c>
      <c r="G203" s="117" t="s">
        <v>374</v>
      </c>
      <c r="H203" s="117" t="s">
        <v>374</v>
      </c>
      <c r="I203" s="117" t="s">
        <v>374</v>
      </c>
      <c r="J203" s="117" t="s">
        <v>374</v>
      </c>
      <c r="K203" s="117" t="s">
        <v>374</v>
      </c>
      <c r="L203" s="117" t="s">
        <v>374</v>
      </c>
      <c r="M203" s="121">
        <f>'c-22'!G59</f>
        <v>819</v>
      </c>
      <c r="N203" s="117" t="s">
        <v>374</v>
      </c>
      <c r="O203" s="117" t="s">
        <v>374</v>
      </c>
      <c r="P203" s="65" t="s">
        <v>374</v>
      </c>
    </row>
    <row r="204" spans="1:20" ht="15.6">
      <c r="A204" s="113"/>
      <c r="B204" s="26"/>
      <c r="C204" s="51"/>
      <c r="D204" s="51"/>
      <c r="E204" s="51"/>
      <c r="F204" s="51"/>
      <c r="G204" s="51"/>
      <c r="H204" s="51"/>
      <c r="I204" s="51"/>
      <c r="J204" s="51"/>
      <c r="K204" s="51"/>
      <c r="L204" s="117"/>
      <c r="M204" s="51"/>
      <c r="N204" s="21"/>
      <c r="O204" s="65"/>
      <c r="P204" s="65"/>
      <c r="S204" s="91"/>
      <c r="T204" s="91"/>
    </row>
    <row r="205" spans="1:20" ht="15.75" customHeight="1">
      <c r="A205" s="106" t="s">
        <v>484</v>
      </c>
      <c r="B205" s="97">
        <f>SUM(B207:B225)</f>
        <v>21660</v>
      </c>
      <c r="C205" s="97">
        <f t="shared" ref="C205:H205" si="8">SUM(C207:C225)</f>
        <v>8706</v>
      </c>
      <c r="D205" s="97">
        <f t="shared" si="8"/>
        <v>0</v>
      </c>
      <c r="E205" s="97">
        <f t="shared" si="8"/>
        <v>0</v>
      </c>
      <c r="F205" s="97">
        <f t="shared" si="8"/>
        <v>2758</v>
      </c>
      <c r="G205" s="97">
        <f t="shared" si="8"/>
        <v>1137</v>
      </c>
      <c r="H205" s="97">
        <f t="shared" si="8"/>
        <v>5967</v>
      </c>
      <c r="I205" s="97" t="s">
        <v>374</v>
      </c>
      <c r="J205" s="97" t="s">
        <v>374</v>
      </c>
      <c r="K205" s="97" t="s">
        <v>374</v>
      </c>
      <c r="L205" s="62" t="s">
        <v>374</v>
      </c>
      <c r="M205" s="97">
        <f>SUM(M207:M225)</f>
        <v>553</v>
      </c>
      <c r="N205" s="97">
        <f>SUM(N207:N225)</f>
        <v>2539</v>
      </c>
      <c r="O205" s="112" t="s">
        <v>374</v>
      </c>
      <c r="P205" s="112" t="s">
        <v>374</v>
      </c>
    </row>
    <row r="206" spans="1:20" ht="15.75" customHeight="1">
      <c r="A206" s="120"/>
      <c r="B206" s="64"/>
      <c r="C206" s="117"/>
      <c r="D206" s="117"/>
      <c r="E206" s="51"/>
      <c r="F206" s="65"/>
      <c r="G206" s="26"/>
      <c r="H206" s="117"/>
      <c r="I206" s="51"/>
      <c r="J206" s="51"/>
      <c r="K206" s="51"/>
      <c r="L206" s="117"/>
      <c r="M206" s="117"/>
      <c r="N206" s="118"/>
      <c r="O206" s="65"/>
      <c r="P206" s="65"/>
    </row>
    <row r="207" spans="1:20" ht="15.75" customHeight="1">
      <c r="A207" s="120" t="s">
        <v>485</v>
      </c>
      <c r="B207" s="26">
        <f t="shared" ref="B207:B225" si="9">SUM(C207:P207)</f>
        <v>1835</v>
      </c>
      <c r="C207" s="24">
        <f>'c-10'!G33</f>
        <v>440</v>
      </c>
      <c r="D207" s="121" t="s">
        <v>374</v>
      </c>
      <c r="E207" s="117" t="s">
        <v>374</v>
      </c>
      <c r="F207" s="65">
        <f>'c-14'!H21</f>
        <v>1264</v>
      </c>
      <c r="G207" s="64" t="s">
        <v>374</v>
      </c>
      <c r="H207" s="65">
        <f>'c-17'!G27</f>
        <v>131</v>
      </c>
      <c r="I207" s="64" t="s">
        <v>374</v>
      </c>
      <c r="J207" s="117" t="s">
        <v>374</v>
      </c>
      <c r="K207" s="117" t="s">
        <v>374</v>
      </c>
      <c r="L207" s="117" t="s">
        <v>374</v>
      </c>
      <c r="M207" s="117" t="s">
        <v>374</v>
      </c>
      <c r="N207" s="118" t="s">
        <v>374</v>
      </c>
      <c r="O207" s="65" t="s">
        <v>374</v>
      </c>
      <c r="P207" s="65" t="s">
        <v>374</v>
      </c>
    </row>
    <row r="208" spans="1:20" ht="15.75" customHeight="1">
      <c r="A208" s="120" t="s">
        <v>486</v>
      </c>
      <c r="B208" s="26">
        <f t="shared" si="9"/>
        <v>1471</v>
      </c>
      <c r="C208" s="24">
        <f>'c-10'!G32</f>
        <v>972</v>
      </c>
      <c r="D208" s="121" t="s">
        <v>374</v>
      </c>
      <c r="E208" s="117" t="s">
        <v>374</v>
      </c>
      <c r="F208" s="66" t="s">
        <v>374</v>
      </c>
      <c r="G208" s="64" t="s">
        <v>374</v>
      </c>
      <c r="H208" s="65">
        <f>'c-17'!G28</f>
        <v>499</v>
      </c>
      <c r="I208" s="64" t="s">
        <v>374</v>
      </c>
      <c r="J208" s="117" t="s">
        <v>374</v>
      </c>
      <c r="K208" s="117" t="s">
        <v>374</v>
      </c>
      <c r="L208" s="117" t="s">
        <v>374</v>
      </c>
      <c r="M208" s="117" t="s">
        <v>374</v>
      </c>
      <c r="N208" s="118" t="s">
        <v>374</v>
      </c>
      <c r="O208" s="65" t="s">
        <v>374</v>
      </c>
      <c r="P208" s="65" t="s">
        <v>374</v>
      </c>
    </row>
    <row r="209" spans="1:20" ht="15.75" customHeight="1">
      <c r="A209" s="120" t="s">
        <v>174</v>
      </c>
      <c r="B209" s="26">
        <f t="shared" si="9"/>
        <v>1087</v>
      </c>
      <c r="C209" s="53">
        <f>'c-10'!G16</f>
        <v>317</v>
      </c>
      <c r="D209" s="24" t="s">
        <v>374</v>
      </c>
      <c r="E209" s="64" t="s">
        <v>374</v>
      </c>
      <c r="F209" s="65">
        <f>'c-14'!H15</f>
        <v>242</v>
      </c>
      <c r="G209" s="64" t="s">
        <v>374</v>
      </c>
      <c r="H209" s="65">
        <f>'c-17'!G13</f>
        <v>140</v>
      </c>
      <c r="I209" s="64" t="s">
        <v>374</v>
      </c>
      <c r="J209" s="117" t="s">
        <v>374</v>
      </c>
      <c r="K209" s="117" t="s">
        <v>374</v>
      </c>
      <c r="L209" s="117" t="s">
        <v>374</v>
      </c>
      <c r="M209" s="64">
        <f>'c-22'!G13</f>
        <v>44</v>
      </c>
      <c r="N209" s="65">
        <f>'c-16'!G13</f>
        <v>344</v>
      </c>
      <c r="O209" s="65" t="s">
        <v>374</v>
      </c>
      <c r="P209" s="65" t="s">
        <v>374</v>
      </c>
    </row>
    <row r="210" spans="1:20" ht="15.75" customHeight="1">
      <c r="A210" s="120" t="s">
        <v>156</v>
      </c>
      <c r="B210" s="26">
        <f t="shared" si="9"/>
        <v>1050</v>
      </c>
      <c r="C210" s="24">
        <f>'c-10'!G121</f>
        <v>492</v>
      </c>
      <c r="D210" s="121" t="s">
        <v>374</v>
      </c>
      <c r="E210" s="117" t="s">
        <v>374</v>
      </c>
      <c r="F210" s="66" t="s">
        <v>374</v>
      </c>
      <c r="G210" s="24" t="s">
        <v>374</v>
      </c>
      <c r="H210" s="65">
        <f>'c-17'!G116</f>
        <v>558</v>
      </c>
      <c r="I210" s="64" t="s">
        <v>374</v>
      </c>
      <c r="J210" s="117" t="s">
        <v>374</v>
      </c>
      <c r="K210" s="117" t="s">
        <v>374</v>
      </c>
      <c r="L210" s="117" t="s">
        <v>374</v>
      </c>
      <c r="M210" s="117" t="s">
        <v>374</v>
      </c>
      <c r="N210" s="118" t="s">
        <v>374</v>
      </c>
      <c r="O210" s="65" t="s">
        <v>374</v>
      </c>
      <c r="P210" s="65" t="s">
        <v>374</v>
      </c>
    </row>
    <row r="211" spans="1:20" ht="15.75" customHeight="1">
      <c r="A211" s="120" t="s">
        <v>487</v>
      </c>
      <c r="B211" s="26">
        <f t="shared" si="9"/>
        <v>1062</v>
      </c>
      <c r="C211" s="24">
        <f>'c-10'!G60</f>
        <v>644</v>
      </c>
      <c r="D211" s="121" t="s">
        <v>374</v>
      </c>
      <c r="E211" s="117" t="s">
        <v>374</v>
      </c>
      <c r="F211" s="117" t="s">
        <v>374</v>
      </c>
      <c r="G211" s="117" t="s">
        <v>374</v>
      </c>
      <c r="H211" s="65">
        <f>'c-17'!G54</f>
        <v>418</v>
      </c>
      <c r="I211" s="64" t="s">
        <v>374</v>
      </c>
      <c r="J211" s="117" t="s">
        <v>374</v>
      </c>
      <c r="K211" s="117" t="s">
        <v>374</v>
      </c>
      <c r="L211" s="117" t="s">
        <v>374</v>
      </c>
      <c r="M211" s="117" t="s">
        <v>374</v>
      </c>
      <c r="N211" s="118" t="s">
        <v>374</v>
      </c>
      <c r="O211" s="65" t="s">
        <v>374</v>
      </c>
      <c r="P211" s="65" t="s">
        <v>374</v>
      </c>
    </row>
    <row r="212" spans="1:20" ht="15.75" customHeight="1">
      <c r="A212" s="120" t="s">
        <v>488</v>
      </c>
      <c r="B212" s="26">
        <f t="shared" si="9"/>
        <v>1307</v>
      </c>
      <c r="C212" s="24">
        <f>'c-10'!G59</f>
        <v>535</v>
      </c>
      <c r="D212" s="121" t="s">
        <v>374</v>
      </c>
      <c r="E212" s="117" t="s">
        <v>374</v>
      </c>
      <c r="F212" s="117" t="s">
        <v>374</v>
      </c>
      <c r="G212" s="117">
        <f>'c-12'!H22</f>
        <v>340</v>
      </c>
      <c r="H212" s="65">
        <f>'c-17'!G55</f>
        <v>432</v>
      </c>
      <c r="I212" s="64" t="s">
        <v>374</v>
      </c>
      <c r="J212" s="117" t="s">
        <v>374</v>
      </c>
      <c r="K212" s="117" t="s">
        <v>374</v>
      </c>
      <c r="L212" s="117" t="s">
        <v>374</v>
      </c>
      <c r="M212" s="117" t="s">
        <v>374</v>
      </c>
      <c r="N212" s="118" t="s">
        <v>374</v>
      </c>
      <c r="O212" s="65" t="s">
        <v>374</v>
      </c>
      <c r="P212" s="65" t="s">
        <v>374</v>
      </c>
    </row>
    <row r="213" spans="1:20" ht="15.75" customHeight="1">
      <c r="A213" s="120" t="s">
        <v>489</v>
      </c>
      <c r="B213" s="26">
        <f t="shared" si="9"/>
        <v>1658</v>
      </c>
      <c r="C213" s="24">
        <f>'c-10'!G50</f>
        <v>970</v>
      </c>
      <c r="D213" s="121" t="s">
        <v>374</v>
      </c>
      <c r="E213" s="117" t="s">
        <v>374</v>
      </c>
      <c r="F213" s="117" t="s">
        <v>374</v>
      </c>
      <c r="G213" s="117" t="s">
        <v>374</v>
      </c>
      <c r="H213" s="65">
        <f>'c-17'!G45</f>
        <v>688</v>
      </c>
      <c r="I213" s="64" t="s">
        <v>374</v>
      </c>
      <c r="J213" s="117" t="s">
        <v>374</v>
      </c>
      <c r="K213" s="117" t="s">
        <v>374</v>
      </c>
      <c r="L213" s="117" t="s">
        <v>374</v>
      </c>
      <c r="M213" s="117" t="s">
        <v>374</v>
      </c>
      <c r="N213" s="118" t="s">
        <v>374</v>
      </c>
      <c r="O213" s="65" t="s">
        <v>374</v>
      </c>
      <c r="P213" s="65" t="s">
        <v>374</v>
      </c>
    </row>
    <row r="214" spans="1:20" ht="15.75" customHeight="1">
      <c r="A214" s="120" t="s">
        <v>886</v>
      </c>
      <c r="B214" s="26">
        <f>SUM(C214:P214)</f>
        <v>1772</v>
      </c>
      <c r="C214" s="24">
        <f>'c-10'!G51</f>
        <v>195</v>
      </c>
      <c r="D214" s="121" t="s">
        <v>374</v>
      </c>
      <c r="E214" s="117" t="s">
        <v>374</v>
      </c>
      <c r="F214" s="117">
        <f>'c-14'!H29</f>
        <v>371</v>
      </c>
      <c r="G214" s="117">
        <f>'c-12'!H19</f>
        <v>393</v>
      </c>
      <c r="H214" s="65">
        <f>'c-17'!G51</f>
        <v>156</v>
      </c>
      <c r="I214" s="64" t="s">
        <v>374</v>
      </c>
      <c r="J214" s="117" t="s">
        <v>374</v>
      </c>
      <c r="K214" s="117" t="s">
        <v>374</v>
      </c>
      <c r="L214" s="117" t="s">
        <v>374</v>
      </c>
      <c r="M214" s="117">
        <f>'c-22'!G20</f>
        <v>117</v>
      </c>
      <c r="N214" s="118">
        <f>'c-16'!G42</f>
        <v>540</v>
      </c>
      <c r="O214" s="65" t="s">
        <v>374</v>
      </c>
      <c r="P214" s="65" t="s">
        <v>374</v>
      </c>
    </row>
    <row r="215" spans="1:20" ht="15.75" customHeight="1">
      <c r="A215" s="120" t="s">
        <v>490</v>
      </c>
      <c r="B215" s="26">
        <f t="shared" si="9"/>
        <v>1020</v>
      </c>
      <c r="C215" s="24">
        <f>'c-10'!G70</f>
        <v>374</v>
      </c>
      <c r="D215" s="121" t="s">
        <v>374</v>
      </c>
      <c r="E215" s="117" t="s">
        <v>374</v>
      </c>
      <c r="F215" s="117" t="s">
        <v>374</v>
      </c>
      <c r="G215" s="24">
        <f>'c-12'!H26</f>
        <v>136</v>
      </c>
      <c r="H215" s="134">
        <f>'c-17'!G65</f>
        <v>510</v>
      </c>
      <c r="I215" s="64" t="s">
        <v>374</v>
      </c>
      <c r="J215" s="117" t="s">
        <v>374</v>
      </c>
      <c r="K215" s="117" t="s">
        <v>374</v>
      </c>
      <c r="L215" s="117" t="s">
        <v>374</v>
      </c>
      <c r="M215" s="117" t="s">
        <v>374</v>
      </c>
      <c r="N215" s="118" t="s">
        <v>374</v>
      </c>
      <c r="O215" s="65" t="s">
        <v>374</v>
      </c>
      <c r="P215" s="65" t="s">
        <v>374</v>
      </c>
    </row>
    <row r="216" spans="1:20" ht="15.75" customHeight="1">
      <c r="A216" s="120" t="s">
        <v>887</v>
      </c>
      <c r="B216" s="26">
        <f>SUM(C216:P216)</f>
        <v>384</v>
      </c>
      <c r="C216" s="24">
        <f>'c-10'!G81</f>
        <v>107</v>
      </c>
      <c r="D216" s="121" t="s">
        <v>374</v>
      </c>
      <c r="E216" s="117" t="s">
        <v>374</v>
      </c>
      <c r="F216" s="117">
        <f>'c-14'!H41</f>
        <v>183</v>
      </c>
      <c r="G216" s="117" t="s">
        <v>374</v>
      </c>
      <c r="H216" s="134">
        <f>'c-17'!G81</f>
        <v>0</v>
      </c>
      <c r="I216" s="64" t="s">
        <v>374</v>
      </c>
      <c r="J216" s="117" t="s">
        <v>374</v>
      </c>
      <c r="K216" s="117" t="s">
        <v>374</v>
      </c>
      <c r="L216" s="117" t="s">
        <v>374</v>
      </c>
      <c r="M216" s="117">
        <f>'c-22'!G32</f>
        <v>94</v>
      </c>
      <c r="N216" s="118" t="s">
        <v>374</v>
      </c>
      <c r="O216" s="65" t="s">
        <v>374</v>
      </c>
      <c r="P216" s="65" t="s">
        <v>374</v>
      </c>
    </row>
    <row r="217" spans="1:20" ht="15.75" customHeight="1">
      <c r="A217" s="120" t="s">
        <v>159</v>
      </c>
      <c r="B217" s="26">
        <f t="shared" si="9"/>
        <v>1246</v>
      </c>
      <c r="C217" s="24">
        <f>'c-10'!G90</f>
        <v>755</v>
      </c>
      <c r="D217" s="121" t="s">
        <v>374</v>
      </c>
      <c r="E217" s="117" t="s">
        <v>374</v>
      </c>
      <c r="F217" s="64" t="s">
        <v>374</v>
      </c>
      <c r="G217" s="117" t="s">
        <v>374</v>
      </c>
      <c r="H217" s="65">
        <f>'c-17'!G84</f>
        <v>491</v>
      </c>
      <c r="I217" s="64" t="s">
        <v>374</v>
      </c>
      <c r="J217" s="117" t="s">
        <v>374</v>
      </c>
      <c r="K217" s="117" t="s">
        <v>374</v>
      </c>
      <c r="L217" s="117" t="s">
        <v>374</v>
      </c>
      <c r="M217" s="117" t="s">
        <v>374</v>
      </c>
      <c r="N217" s="118" t="s">
        <v>374</v>
      </c>
      <c r="O217" s="65" t="s">
        <v>374</v>
      </c>
      <c r="P217" s="65" t="s">
        <v>374</v>
      </c>
    </row>
    <row r="218" spans="1:20" ht="15.75" customHeight="1">
      <c r="A218" s="120" t="s">
        <v>186</v>
      </c>
      <c r="B218" s="26">
        <f t="shared" si="9"/>
        <v>789</v>
      </c>
      <c r="C218" s="24">
        <f>'c-10'!G91</f>
        <v>431</v>
      </c>
      <c r="D218" s="121" t="s">
        <v>374</v>
      </c>
      <c r="E218" s="117" t="s">
        <v>374</v>
      </c>
      <c r="F218" s="64" t="s">
        <v>374</v>
      </c>
      <c r="G218" s="117" t="s">
        <v>374</v>
      </c>
      <c r="H218" s="65">
        <f>'c-17'!G85</f>
        <v>358</v>
      </c>
      <c r="I218" s="64" t="s">
        <v>374</v>
      </c>
      <c r="J218" s="117" t="s">
        <v>374</v>
      </c>
      <c r="K218" s="117" t="s">
        <v>374</v>
      </c>
      <c r="L218" s="117" t="s">
        <v>374</v>
      </c>
      <c r="M218" s="117" t="s">
        <v>374</v>
      </c>
      <c r="N218" s="117" t="s">
        <v>374</v>
      </c>
      <c r="O218" s="65" t="s">
        <v>374</v>
      </c>
      <c r="P218" s="65" t="s">
        <v>374</v>
      </c>
    </row>
    <row r="219" spans="1:20" ht="15.75" customHeight="1">
      <c r="A219" s="120" t="s">
        <v>187</v>
      </c>
      <c r="B219" s="26">
        <f t="shared" si="9"/>
        <v>744</v>
      </c>
      <c r="C219" s="24">
        <f>'c-10'!G100</f>
        <v>455</v>
      </c>
      <c r="D219" s="121" t="s">
        <v>374</v>
      </c>
      <c r="E219" s="117" t="s">
        <v>374</v>
      </c>
      <c r="F219" s="117" t="s">
        <v>374</v>
      </c>
      <c r="G219" s="117" t="s">
        <v>374</v>
      </c>
      <c r="H219" s="65">
        <f>'c-17'!G94</f>
        <v>289</v>
      </c>
      <c r="I219" s="64" t="s">
        <v>374</v>
      </c>
      <c r="J219" s="117" t="s">
        <v>374</v>
      </c>
      <c r="K219" s="117" t="s">
        <v>374</v>
      </c>
      <c r="L219" s="117" t="s">
        <v>374</v>
      </c>
      <c r="M219" s="117" t="s">
        <v>374</v>
      </c>
      <c r="N219" s="65" t="s">
        <v>374</v>
      </c>
      <c r="O219" s="65" t="s">
        <v>374</v>
      </c>
      <c r="P219" s="65" t="s">
        <v>374</v>
      </c>
    </row>
    <row r="220" spans="1:20" ht="15.75" customHeight="1">
      <c r="A220" s="120" t="s">
        <v>160</v>
      </c>
      <c r="B220" s="26">
        <f t="shared" si="9"/>
        <v>1529</v>
      </c>
      <c r="C220" s="24">
        <f>'c-10'!G101</f>
        <v>964</v>
      </c>
      <c r="D220" s="121" t="s">
        <v>374</v>
      </c>
      <c r="E220" s="64" t="s">
        <v>374</v>
      </c>
      <c r="F220" s="64" t="s">
        <v>374</v>
      </c>
      <c r="G220" s="117" t="s">
        <v>374</v>
      </c>
      <c r="H220" s="65">
        <f>'c-17'!G95</f>
        <v>565</v>
      </c>
      <c r="I220" s="64" t="s">
        <v>374</v>
      </c>
      <c r="J220" s="117" t="s">
        <v>374</v>
      </c>
      <c r="K220" s="117" t="s">
        <v>374</v>
      </c>
      <c r="L220" s="117" t="s">
        <v>374</v>
      </c>
      <c r="M220" s="64" t="s">
        <v>374</v>
      </c>
      <c r="N220" s="118" t="s">
        <v>374</v>
      </c>
      <c r="O220" s="65" t="s">
        <v>374</v>
      </c>
      <c r="P220" s="65" t="s">
        <v>374</v>
      </c>
    </row>
    <row r="221" spans="1:20" s="91" customFormat="1" ht="15.75" customHeight="1">
      <c r="A221" s="120" t="s">
        <v>491</v>
      </c>
      <c r="B221" s="26">
        <f t="shared" si="9"/>
        <v>1178</v>
      </c>
      <c r="C221" s="24">
        <f>'c-10'!G110</f>
        <v>274</v>
      </c>
      <c r="D221" s="121" t="s">
        <v>374</v>
      </c>
      <c r="E221" s="117" t="s">
        <v>374</v>
      </c>
      <c r="F221" s="65">
        <f>'c-14'!H53</f>
        <v>243</v>
      </c>
      <c r="G221" s="64" t="s">
        <v>374</v>
      </c>
      <c r="H221" s="65">
        <f>'c-17'!G105</f>
        <v>251</v>
      </c>
      <c r="I221" s="64" t="s">
        <v>374</v>
      </c>
      <c r="J221" s="117" t="s">
        <v>374</v>
      </c>
      <c r="K221" s="117" t="s">
        <v>374</v>
      </c>
      <c r="L221" s="117" t="s">
        <v>374</v>
      </c>
      <c r="M221" s="64">
        <f>'c-22'!G44</f>
        <v>110</v>
      </c>
      <c r="N221" s="24">
        <f>'c-16'!G87</f>
        <v>300</v>
      </c>
      <c r="O221" s="65" t="s">
        <v>374</v>
      </c>
      <c r="P221" s="65" t="s">
        <v>374</v>
      </c>
      <c r="S221" s="35"/>
      <c r="T221" s="35"/>
    </row>
    <row r="222" spans="1:20" ht="15.75" customHeight="1">
      <c r="A222" s="120" t="s">
        <v>492</v>
      </c>
      <c r="B222" s="26">
        <f t="shared" si="9"/>
        <v>967</v>
      </c>
      <c r="C222" s="24">
        <f>'c-10'!G128</f>
        <v>184</v>
      </c>
      <c r="D222" s="121" t="s">
        <v>374</v>
      </c>
      <c r="E222" s="117" t="s">
        <v>374</v>
      </c>
      <c r="F222" s="65">
        <f>'c-14'!H61</f>
        <v>168</v>
      </c>
      <c r="G222" s="64" t="s">
        <v>374</v>
      </c>
      <c r="H222" s="65">
        <f>'c-17'!G123</f>
        <v>78</v>
      </c>
      <c r="I222" s="64" t="s">
        <v>374</v>
      </c>
      <c r="J222" s="117" t="s">
        <v>374</v>
      </c>
      <c r="K222" s="117" t="s">
        <v>374</v>
      </c>
      <c r="L222" s="117" t="s">
        <v>374</v>
      </c>
      <c r="M222" s="64">
        <f>'c-22'!G52</f>
        <v>58</v>
      </c>
      <c r="N222" s="24">
        <f>'c-16'!G101</f>
        <v>479</v>
      </c>
      <c r="O222" s="65" t="s">
        <v>374</v>
      </c>
      <c r="P222" s="65" t="s">
        <v>374</v>
      </c>
    </row>
    <row r="223" spans="1:20" ht="15.75" customHeight="1">
      <c r="A223" s="120" t="s">
        <v>493</v>
      </c>
      <c r="B223" s="26">
        <f t="shared" si="9"/>
        <v>642</v>
      </c>
      <c r="C223" s="24">
        <f>'c-10'!G129</f>
        <v>142</v>
      </c>
      <c r="D223" s="121" t="s">
        <v>374</v>
      </c>
      <c r="E223" s="117" t="s">
        <v>374</v>
      </c>
      <c r="F223" s="65">
        <f>'c-14'!H62</f>
        <v>98</v>
      </c>
      <c r="G223" s="64" t="s">
        <v>374</v>
      </c>
      <c r="H223" s="65">
        <f>'c-17'!G124</f>
        <v>56</v>
      </c>
      <c r="I223" s="64" t="s">
        <v>374</v>
      </c>
      <c r="J223" s="117" t="s">
        <v>374</v>
      </c>
      <c r="K223" s="117" t="s">
        <v>374</v>
      </c>
      <c r="L223" s="117" t="s">
        <v>374</v>
      </c>
      <c r="M223" s="64">
        <f>'c-22'!G51</f>
        <v>23</v>
      </c>
      <c r="N223" s="24">
        <f>'c-16'!G102</f>
        <v>323</v>
      </c>
      <c r="O223" s="65" t="s">
        <v>374</v>
      </c>
      <c r="P223" s="65" t="s">
        <v>374</v>
      </c>
    </row>
    <row r="224" spans="1:20" ht="15.75" customHeight="1">
      <c r="A224" s="120" t="s">
        <v>494</v>
      </c>
      <c r="B224" s="26">
        <f t="shared" si="9"/>
        <v>612</v>
      </c>
      <c r="C224" s="24">
        <f>'c-10'!G127</f>
        <v>344</v>
      </c>
      <c r="D224" s="121" t="s">
        <v>374</v>
      </c>
      <c r="E224" s="117" t="s">
        <v>374</v>
      </c>
      <c r="F224" s="117" t="s">
        <v>374</v>
      </c>
      <c r="G224" s="117" t="s">
        <v>374</v>
      </c>
      <c r="H224" s="65">
        <f>'c-17'!G122</f>
        <v>268</v>
      </c>
      <c r="I224" s="64" t="s">
        <v>374</v>
      </c>
      <c r="J224" s="117" t="s">
        <v>374</v>
      </c>
      <c r="K224" s="117" t="s">
        <v>374</v>
      </c>
      <c r="L224" s="117" t="s">
        <v>374</v>
      </c>
      <c r="M224" s="64" t="s">
        <v>374</v>
      </c>
      <c r="N224" s="118" t="s">
        <v>374</v>
      </c>
      <c r="O224" s="65" t="s">
        <v>374</v>
      </c>
      <c r="P224" s="65" t="s">
        <v>374</v>
      </c>
    </row>
    <row r="225" spans="1:20" ht="15.75" customHeight="1">
      <c r="A225" s="132" t="s">
        <v>528</v>
      </c>
      <c r="B225" s="26">
        <f t="shared" si="9"/>
        <v>1307</v>
      </c>
      <c r="C225" s="117">
        <f>'c-10'!G122</f>
        <v>111</v>
      </c>
      <c r="D225" s="121" t="s">
        <v>374</v>
      </c>
      <c r="E225" s="117" t="s">
        <v>374</v>
      </c>
      <c r="F225" s="117">
        <f>'c-14'!H57</f>
        <v>189</v>
      </c>
      <c r="G225" s="117">
        <f>'c-12'!H39</f>
        <v>268</v>
      </c>
      <c r="H225" s="117">
        <f>'c-17'!G117</f>
        <v>79</v>
      </c>
      <c r="I225" s="117" t="s">
        <v>374</v>
      </c>
      <c r="J225" s="117" t="s">
        <v>374</v>
      </c>
      <c r="K225" s="117" t="s">
        <v>374</v>
      </c>
      <c r="L225" s="117" t="s">
        <v>374</v>
      </c>
      <c r="M225" s="64">
        <f>'c-22'!G48</f>
        <v>107</v>
      </c>
      <c r="N225" s="117">
        <f>'c-16'!G97</f>
        <v>553</v>
      </c>
      <c r="O225" s="118" t="s">
        <v>374</v>
      </c>
      <c r="P225" s="66" t="s">
        <v>374</v>
      </c>
      <c r="S225" s="91"/>
      <c r="T225" s="91"/>
    </row>
    <row r="226" spans="1:20" ht="15.75" customHeight="1">
      <c r="A226" s="113"/>
      <c r="B226" s="26"/>
      <c r="C226" s="51"/>
      <c r="D226" s="51"/>
      <c r="E226" s="51"/>
      <c r="F226" s="26"/>
      <c r="G226" s="51"/>
      <c r="H226" s="51"/>
      <c r="I226" s="51"/>
      <c r="J226" s="51"/>
      <c r="K226" s="51"/>
      <c r="L226" s="117"/>
      <c r="M226" s="51"/>
      <c r="N226" s="21"/>
      <c r="O226" s="65"/>
      <c r="P226" s="65"/>
      <c r="S226" s="91"/>
      <c r="T226" s="91"/>
    </row>
    <row r="227" spans="1:20" ht="15.75" customHeight="1">
      <c r="A227" s="106" t="s">
        <v>495</v>
      </c>
      <c r="B227" s="97">
        <f>SUM(B229:B237)</f>
        <v>9958</v>
      </c>
      <c r="C227" s="97" t="s">
        <v>374</v>
      </c>
      <c r="D227" s="97" t="s">
        <v>374</v>
      </c>
      <c r="E227" s="97" t="s">
        <v>374</v>
      </c>
      <c r="F227" s="97">
        <f>SUM(F229:F237)</f>
        <v>3004</v>
      </c>
      <c r="G227" s="97" t="s">
        <v>374</v>
      </c>
      <c r="H227" s="97" t="s">
        <v>374</v>
      </c>
      <c r="I227" s="97" t="s">
        <v>374</v>
      </c>
      <c r="J227" s="97" t="s">
        <v>374</v>
      </c>
      <c r="K227" s="97" t="s">
        <v>374</v>
      </c>
      <c r="L227" s="97" t="s">
        <v>374</v>
      </c>
      <c r="M227" s="97">
        <f>SUM(M229:M237)</f>
        <v>1216</v>
      </c>
      <c r="N227" s="97">
        <f>SUM(N229:N237)</f>
        <v>5738</v>
      </c>
      <c r="O227" s="112" t="s">
        <v>374</v>
      </c>
      <c r="P227" s="112" t="s">
        <v>374</v>
      </c>
      <c r="S227" s="91"/>
      <c r="T227" s="91"/>
    </row>
    <row r="228" spans="1:20" ht="15.75" customHeight="1">
      <c r="A228" s="120"/>
      <c r="B228" s="64"/>
      <c r="C228" s="117"/>
      <c r="D228" s="117"/>
      <c r="E228" s="117"/>
      <c r="F228" s="64"/>
      <c r="G228" s="51"/>
      <c r="H228" s="51"/>
      <c r="I228" s="51"/>
      <c r="J228" s="51"/>
      <c r="K228" s="51"/>
      <c r="L228" s="117"/>
      <c r="M228" s="117"/>
      <c r="N228" s="118"/>
      <c r="O228" s="65"/>
      <c r="P228" s="65"/>
      <c r="S228" s="91"/>
      <c r="T228" s="91"/>
    </row>
    <row r="229" spans="1:20" ht="15.75" customHeight="1">
      <c r="A229" s="120" t="s">
        <v>496</v>
      </c>
      <c r="B229" s="26">
        <f t="shared" ref="B229:B237" si="10">SUM(C229:P229)</f>
        <v>428</v>
      </c>
      <c r="C229" s="117" t="s">
        <v>374</v>
      </c>
      <c r="D229" s="117" t="s">
        <v>374</v>
      </c>
      <c r="E229" s="117" t="s">
        <v>374</v>
      </c>
      <c r="F229" s="24">
        <f>'c-14'!H56</f>
        <v>231</v>
      </c>
      <c r="G229" s="117" t="s">
        <v>374</v>
      </c>
      <c r="H229" s="117" t="s">
        <v>374</v>
      </c>
      <c r="I229" s="117" t="s">
        <v>374</v>
      </c>
      <c r="J229" s="117" t="s">
        <v>374</v>
      </c>
      <c r="K229" s="117" t="s">
        <v>374</v>
      </c>
      <c r="L229" s="117" t="s">
        <v>374</v>
      </c>
      <c r="M229" s="24">
        <f>'c-22'!G47</f>
        <v>197</v>
      </c>
      <c r="N229" s="66" t="s">
        <v>374</v>
      </c>
      <c r="O229" s="65" t="s">
        <v>374</v>
      </c>
      <c r="P229" s="65" t="s">
        <v>374</v>
      </c>
    </row>
    <row r="230" spans="1:20" ht="15.75" customHeight="1">
      <c r="A230" s="120" t="s">
        <v>177</v>
      </c>
      <c r="B230" s="26">
        <f t="shared" si="10"/>
        <v>919</v>
      </c>
      <c r="C230" s="117" t="s">
        <v>374</v>
      </c>
      <c r="D230" s="117" t="s">
        <v>374</v>
      </c>
      <c r="E230" s="117" t="s">
        <v>374</v>
      </c>
      <c r="F230" s="65">
        <f>'c-14'!H32</f>
        <v>276</v>
      </c>
      <c r="G230" s="64" t="s">
        <v>374</v>
      </c>
      <c r="H230" s="117" t="s">
        <v>374</v>
      </c>
      <c r="I230" s="117" t="s">
        <v>374</v>
      </c>
      <c r="J230" s="117" t="s">
        <v>374</v>
      </c>
      <c r="K230" s="117" t="s">
        <v>374</v>
      </c>
      <c r="L230" s="117" t="s">
        <v>374</v>
      </c>
      <c r="M230" s="64">
        <f>'c-22'!G23</f>
        <v>103</v>
      </c>
      <c r="N230" s="24">
        <f>'c-16'!G46</f>
        <v>540</v>
      </c>
      <c r="O230" s="65" t="s">
        <v>374</v>
      </c>
      <c r="P230" s="65" t="s">
        <v>374</v>
      </c>
    </row>
    <row r="231" spans="1:20" ht="15.75" customHeight="1">
      <c r="A231" s="120" t="s">
        <v>497</v>
      </c>
      <c r="B231" s="26">
        <f t="shared" si="10"/>
        <v>1453</v>
      </c>
      <c r="C231" s="117" t="s">
        <v>374</v>
      </c>
      <c r="D231" s="117" t="s">
        <v>374</v>
      </c>
      <c r="E231" s="117" t="s">
        <v>374</v>
      </c>
      <c r="F231" s="65">
        <f>'c-14'!H33</f>
        <v>572</v>
      </c>
      <c r="G231" s="64" t="s">
        <v>374</v>
      </c>
      <c r="H231" s="117" t="s">
        <v>374</v>
      </c>
      <c r="I231" s="117" t="s">
        <v>374</v>
      </c>
      <c r="J231" s="117" t="s">
        <v>374</v>
      </c>
      <c r="K231" s="117" t="s">
        <v>374</v>
      </c>
      <c r="L231" s="117" t="s">
        <v>374</v>
      </c>
      <c r="M231" s="64">
        <f>'c-22'!G24</f>
        <v>78</v>
      </c>
      <c r="N231" s="24">
        <f>'c-16'!G45</f>
        <v>803</v>
      </c>
      <c r="O231" s="65" t="s">
        <v>374</v>
      </c>
      <c r="P231" s="65" t="s">
        <v>374</v>
      </c>
    </row>
    <row r="232" spans="1:20" ht="15.75" customHeight="1">
      <c r="A232" s="120" t="s">
        <v>181</v>
      </c>
      <c r="B232" s="26">
        <f t="shared" si="10"/>
        <v>1012</v>
      </c>
      <c r="C232" s="117" t="s">
        <v>374</v>
      </c>
      <c r="D232" s="117" t="s">
        <v>374</v>
      </c>
      <c r="E232" s="117" t="s">
        <v>374</v>
      </c>
      <c r="F232" s="65">
        <f>'c-14'!H37</f>
        <v>265</v>
      </c>
      <c r="G232" s="64" t="s">
        <v>374</v>
      </c>
      <c r="H232" s="117" t="s">
        <v>374</v>
      </c>
      <c r="I232" s="117" t="s">
        <v>374</v>
      </c>
      <c r="J232" s="117" t="s">
        <v>374</v>
      </c>
      <c r="K232" s="117" t="s">
        <v>374</v>
      </c>
      <c r="L232" s="117" t="s">
        <v>374</v>
      </c>
      <c r="M232" s="64">
        <f>'c-22'!G28</f>
        <v>101</v>
      </c>
      <c r="N232" s="24">
        <f>'c-16'!G54</f>
        <v>646</v>
      </c>
      <c r="O232" s="65" t="s">
        <v>374</v>
      </c>
      <c r="P232" s="65" t="s">
        <v>374</v>
      </c>
    </row>
    <row r="233" spans="1:20" ht="15.75" customHeight="1">
      <c r="A233" s="120" t="s">
        <v>185</v>
      </c>
      <c r="B233" s="26">
        <f t="shared" si="10"/>
        <v>1312</v>
      </c>
      <c r="C233" s="117" t="s">
        <v>374</v>
      </c>
      <c r="D233" s="117" t="s">
        <v>374</v>
      </c>
      <c r="E233" s="117" t="s">
        <v>374</v>
      </c>
      <c r="F233" s="65">
        <f>'c-14'!H44</f>
        <v>162</v>
      </c>
      <c r="G233" s="64" t="s">
        <v>374</v>
      </c>
      <c r="H233" s="117" t="s">
        <v>374</v>
      </c>
      <c r="I233" s="117" t="s">
        <v>374</v>
      </c>
      <c r="J233" s="117" t="s">
        <v>374</v>
      </c>
      <c r="K233" s="117" t="s">
        <v>374</v>
      </c>
      <c r="L233" s="117" t="s">
        <v>374</v>
      </c>
      <c r="M233" s="64">
        <f>'c-22'!G35</f>
        <v>220</v>
      </c>
      <c r="N233" s="24">
        <f>'c-16'!G70</f>
        <v>930</v>
      </c>
      <c r="O233" s="65" t="s">
        <v>374</v>
      </c>
      <c r="P233" s="65" t="s">
        <v>374</v>
      </c>
    </row>
    <row r="234" spans="1:20" ht="15.75" customHeight="1">
      <c r="A234" s="120" t="s">
        <v>186</v>
      </c>
      <c r="B234" s="26">
        <f t="shared" si="10"/>
        <v>629</v>
      </c>
      <c r="C234" s="117" t="s">
        <v>374</v>
      </c>
      <c r="D234" s="117" t="s">
        <v>374</v>
      </c>
      <c r="E234" s="117" t="s">
        <v>374</v>
      </c>
      <c r="F234" s="24">
        <f>'c-14'!H45</f>
        <v>110</v>
      </c>
      <c r="G234" s="117" t="s">
        <v>374</v>
      </c>
      <c r="H234" s="117" t="s">
        <v>374</v>
      </c>
      <c r="I234" s="64" t="s">
        <v>374</v>
      </c>
      <c r="J234" s="117" t="s">
        <v>374</v>
      </c>
      <c r="K234" s="117" t="s">
        <v>374</v>
      </c>
      <c r="L234" s="117" t="s">
        <v>374</v>
      </c>
      <c r="M234" s="64">
        <f>'c-22'!G36</f>
        <v>133</v>
      </c>
      <c r="N234" s="24">
        <f>'c-16'!G71</f>
        <v>386</v>
      </c>
      <c r="O234" s="65" t="s">
        <v>374</v>
      </c>
      <c r="P234" s="65" t="s">
        <v>374</v>
      </c>
    </row>
    <row r="235" spans="1:20" ht="15.75" customHeight="1">
      <c r="A235" s="120" t="s">
        <v>499</v>
      </c>
      <c r="B235" s="26">
        <f t="shared" si="10"/>
        <v>1317</v>
      </c>
      <c r="C235" s="117" t="s">
        <v>374</v>
      </c>
      <c r="D235" s="117" t="s">
        <v>374</v>
      </c>
      <c r="E235" s="117" t="s">
        <v>374</v>
      </c>
      <c r="F235" s="65">
        <f>'c-14'!H48</f>
        <v>369</v>
      </c>
      <c r="G235" s="64" t="s">
        <v>374</v>
      </c>
      <c r="H235" s="117" t="s">
        <v>374</v>
      </c>
      <c r="I235" s="117" t="s">
        <v>374</v>
      </c>
      <c r="J235" s="117" t="s">
        <v>374</v>
      </c>
      <c r="K235" s="117" t="s">
        <v>374</v>
      </c>
      <c r="L235" s="117" t="s">
        <v>374</v>
      </c>
      <c r="M235" s="64">
        <f>'c-22'!G39</f>
        <v>40</v>
      </c>
      <c r="N235" s="24">
        <f>'c-16'!G78</f>
        <v>908</v>
      </c>
      <c r="O235" s="65" t="s">
        <v>374</v>
      </c>
      <c r="P235" s="65" t="s">
        <v>374</v>
      </c>
    </row>
    <row r="236" spans="1:20" s="91" customFormat="1" ht="15.75" customHeight="1">
      <c r="A236" s="120" t="s">
        <v>500</v>
      </c>
      <c r="B236" s="26">
        <f t="shared" si="10"/>
        <v>1651</v>
      </c>
      <c r="C236" s="117" t="s">
        <v>374</v>
      </c>
      <c r="D236" s="117" t="s">
        <v>374</v>
      </c>
      <c r="E236" s="117" t="s">
        <v>374</v>
      </c>
      <c r="F236" s="65">
        <f>'c-14'!H49</f>
        <v>492</v>
      </c>
      <c r="G236" s="64" t="s">
        <v>374</v>
      </c>
      <c r="H236" s="117" t="s">
        <v>374</v>
      </c>
      <c r="I236" s="117" t="s">
        <v>374</v>
      </c>
      <c r="J236" s="117" t="s">
        <v>374</v>
      </c>
      <c r="K236" s="117" t="s">
        <v>374</v>
      </c>
      <c r="L236" s="117" t="s">
        <v>374</v>
      </c>
      <c r="M236" s="64">
        <f>'c-22'!G40</f>
        <v>227</v>
      </c>
      <c r="N236" s="24">
        <f>'c-16'!G79</f>
        <v>932</v>
      </c>
      <c r="O236" s="65" t="s">
        <v>374</v>
      </c>
      <c r="P236" s="65" t="s">
        <v>374</v>
      </c>
      <c r="S236" s="35"/>
      <c r="T236" s="35"/>
    </row>
    <row r="237" spans="1:20" ht="15.75" customHeight="1">
      <c r="A237" s="120" t="s">
        <v>501</v>
      </c>
      <c r="B237" s="26">
        <f t="shared" si="10"/>
        <v>1237</v>
      </c>
      <c r="C237" s="117" t="s">
        <v>374</v>
      </c>
      <c r="D237" s="117" t="s">
        <v>374</v>
      </c>
      <c r="E237" s="117" t="s">
        <v>374</v>
      </c>
      <c r="F237" s="65">
        <f>'c-14'!H60</f>
        <v>527</v>
      </c>
      <c r="G237" s="64" t="s">
        <v>374</v>
      </c>
      <c r="H237" s="117" t="s">
        <v>374</v>
      </c>
      <c r="I237" s="117" t="s">
        <v>374</v>
      </c>
      <c r="J237" s="117" t="s">
        <v>374</v>
      </c>
      <c r="K237" s="117" t="s">
        <v>374</v>
      </c>
      <c r="L237" s="117" t="s">
        <v>374</v>
      </c>
      <c r="M237" s="117">
        <f>'c-22'!G53</f>
        <v>117</v>
      </c>
      <c r="N237" s="118">
        <f>'c-16'!G100</f>
        <v>593</v>
      </c>
      <c r="O237" s="65" t="s">
        <v>374</v>
      </c>
      <c r="P237" s="65" t="s">
        <v>374</v>
      </c>
    </row>
    <row r="238" spans="1:20" ht="15.75" customHeight="1">
      <c r="A238" s="133"/>
      <c r="B238" s="107"/>
      <c r="C238" s="114"/>
      <c r="D238" s="114"/>
      <c r="E238" s="114"/>
      <c r="F238" s="107"/>
      <c r="G238" s="114"/>
      <c r="H238" s="114"/>
      <c r="I238" s="114"/>
      <c r="J238" s="114"/>
      <c r="K238" s="114"/>
      <c r="L238" s="117"/>
      <c r="M238" s="114"/>
      <c r="N238" s="24"/>
      <c r="O238" s="65"/>
      <c r="P238" s="65"/>
    </row>
    <row r="239" spans="1:20" ht="15.75" customHeight="1">
      <c r="A239" s="106" t="s">
        <v>502</v>
      </c>
      <c r="B239" s="62">
        <f>SUM(B241:B248)</f>
        <v>103262</v>
      </c>
      <c r="C239" s="62">
        <f>SUM(C241:C248)</f>
        <v>23340</v>
      </c>
      <c r="D239" s="62">
        <f>SUM(D241:D248)</f>
        <v>79922</v>
      </c>
      <c r="E239" s="97" t="s">
        <v>374</v>
      </c>
      <c r="F239" s="62" t="s">
        <v>374</v>
      </c>
      <c r="G239" s="97" t="s">
        <v>374</v>
      </c>
      <c r="H239" s="97" t="s">
        <v>374</v>
      </c>
      <c r="I239" s="97" t="s">
        <v>374</v>
      </c>
      <c r="J239" s="97" t="s">
        <v>374</v>
      </c>
      <c r="K239" s="97" t="s">
        <v>374</v>
      </c>
      <c r="L239" s="97" t="s">
        <v>374</v>
      </c>
      <c r="M239" s="97" t="s">
        <v>374</v>
      </c>
      <c r="N239" s="98" t="s">
        <v>374</v>
      </c>
      <c r="O239" s="112" t="s">
        <v>374</v>
      </c>
      <c r="P239" s="112" t="s">
        <v>374</v>
      </c>
    </row>
    <row r="240" spans="1:20" ht="15.75" customHeight="1">
      <c r="A240" s="120"/>
      <c r="B240" s="64"/>
      <c r="C240" s="64"/>
      <c r="D240" s="117"/>
      <c r="E240" s="51"/>
      <c r="F240" s="26"/>
      <c r="G240" s="51"/>
      <c r="H240" s="51"/>
      <c r="I240" s="51"/>
      <c r="J240" s="51"/>
      <c r="K240" s="51"/>
      <c r="L240" s="117"/>
      <c r="M240" s="51"/>
      <c r="N240" s="21"/>
      <c r="O240" s="65"/>
      <c r="P240" s="65"/>
    </row>
    <row r="241" spans="1:20" ht="15.75" customHeight="1">
      <c r="A241" s="120" t="s">
        <v>503</v>
      </c>
      <c r="B241" s="26">
        <f t="shared" ref="B241:B248" si="11">SUM(C241:P241)</f>
        <v>7849</v>
      </c>
      <c r="C241" s="64">
        <f>'c-10'!G18</f>
        <v>7849</v>
      </c>
      <c r="D241" s="141" t="s">
        <v>374</v>
      </c>
      <c r="E241" s="64" t="s">
        <v>374</v>
      </c>
      <c r="F241" s="117" t="s">
        <v>374</v>
      </c>
      <c r="G241" s="117" t="s">
        <v>374</v>
      </c>
      <c r="H241" s="117" t="s">
        <v>374</v>
      </c>
      <c r="I241" s="117" t="s">
        <v>374</v>
      </c>
      <c r="J241" s="117" t="s">
        <v>374</v>
      </c>
      <c r="K241" s="117" t="s">
        <v>374</v>
      </c>
      <c r="L241" s="117" t="s">
        <v>374</v>
      </c>
      <c r="M241" s="117" t="s">
        <v>374</v>
      </c>
      <c r="N241" s="118" t="s">
        <v>374</v>
      </c>
      <c r="O241" s="65" t="s">
        <v>374</v>
      </c>
      <c r="P241" s="65" t="s">
        <v>374</v>
      </c>
    </row>
    <row r="242" spans="1:20" ht="15.75" customHeight="1">
      <c r="A242" s="120" t="s">
        <v>504</v>
      </c>
      <c r="B242" s="26">
        <f t="shared" si="11"/>
        <v>9246</v>
      </c>
      <c r="C242" s="64">
        <f>'c-10'!G19</f>
        <v>9246</v>
      </c>
      <c r="D242" s="121" t="s">
        <v>374</v>
      </c>
      <c r="E242" s="117" t="s">
        <v>374</v>
      </c>
      <c r="F242" s="117" t="s">
        <v>374</v>
      </c>
      <c r="G242" s="117" t="s">
        <v>374</v>
      </c>
      <c r="H242" s="117" t="s">
        <v>374</v>
      </c>
      <c r="I242" s="117" t="s">
        <v>374</v>
      </c>
      <c r="J242" s="117" t="s">
        <v>374</v>
      </c>
      <c r="K242" s="117" t="s">
        <v>374</v>
      </c>
      <c r="L242" s="117" t="s">
        <v>374</v>
      </c>
      <c r="M242" s="117" t="s">
        <v>374</v>
      </c>
      <c r="N242" s="118" t="s">
        <v>374</v>
      </c>
      <c r="O242" s="65" t="s">
        <v>374</v>
      </c>
      <c r="P242" s="65" t="s">
        <v>374</v>
      </c>
    </row>
    <row r="243" spans="1:20" ht="15.75" customHeight="1">
      <c r="A243" s="120" t="s">
        <v>505</v>
      </c>
      <c r="B243" s="26">
        <f t="shared" si="11"/>
        <v>1583</v>
      </c>
      <c r="C243" s="24">
        <f>'c-10'!G29</f>
        <v>1583</v>
      </c>
      <c r="D243" s="121" t="s">
        <v>374</v>
      </c>
      <c r="E243" s="117" t="s">
        <v>374</v>
      </c>
      <c r="F243" s="117" t="s">
        <v>374</v>
      </c>
      <c r="G243" s="117" t="s">
        <v>374</v>
      </c>
      <c r="H243" s="117" t="s">
        <v>374</v>
      </c>
      <c r="I243" s="117" t="s">
        <v>374</v>
      </c>
      <c r="J243" s="117" t="s">
        <v>374</v>
      </c>
      <c r="K243" s="117" t="s">
        <v>374</v>
      </c>
      <c r="L243" s="117" t="s">
        <v>374</v>
      </c>
      <c r="M243" s="117" t="s">
        <v>374</v>
      </c>
      <c r="N243" s="118" t="s">
        <v>374</v>
      </c>
      <c r="O243" s="65" t="s">
        <v>374</v>
      </c>
      <c r="P243" s="65" t="s">
        <v>374</v>
      </c>
    </row>
    <row r="244" spans="1:20" ht="15.75" customHeight="1">
      <c r="A244" s="120" t="s">
        <v>506</v>
      </c>
      <c r="B244" s="26">
        <f t="shared" si="11"/>
        <v>25853</v>
      </c>
      <c r="C244" s="24">
        <f>'c-10'!G43</f>
        <v>707</v>
      </c>
      <c r="D244" s="121">
        <f>'c-11'!G21</f>
        <v>25146</v>
      </c>
      <c r="E244" s="117" t="s">
        <v>374</v>
      </c>
      <c r="F244" s="117" t="s">
        <v>374</v>
      </c>
      <c r="G244" s="117" t="s">
        <v>374</v>
      </c>
      <c r="H244" s="117" t="s">
        <v>374</v>
      </c>
      <c r="I244" s="117" t="s">
        <v>374</v>
      </c>
      <c r="J244" s="117" t="s">
        <v>374</v>
      </c>
      <c r="K244" s="117" t="s">
        <v>374</v>
      </c>
      <c r="L244" s="117" t="s">
        <v>374</v>
      </c>
      <c r="M244" s="117" t="s">
        <v>374</v>
      </c>
      <c r="N244" s="118" t="s">
        <v>374</v>
      </c>
      <c r="O244" s="65" t="s">
        <v>374</v>
      </c>
      <c r="P244" s="65" t="s">
        <v>374</v>
      </c>
      <c r="S244" s="91"/>
      <c r="T244" s="91"/>
    </row>
    <row r="245" spans="1:20" ht="15.75" customHeight="1">
      <c r="A245" s="120" t="s">
        <v>507</v>
      </c>
      <c r="B245" s="26">
        <f t="shared" si="11"/>
        <v>19441</v>
      </c>
      <c r="C245" s="24">
        <f>'c-10'!G71</f>
        <v>1742</v>
      </c>
      <c r="D245" s="121">
        <f>'c-11'!G31</f>
        <v>17699</v>
      </c>
      <c r="E245" s="117" t="s">
        <v>374</v>
      </c>
      <c r="F245" s="117" t="s">
        <v>374</v>
      </c>
      <c r="G245" s="117" t="s">
        <v>374</v>
      </c>
      <c r="H245" s="117" t="s">
        <v>374</v>
      </c>
      <c r="I245" s="117" t="s">
        <v>374</v>
      </c>
      <c r="J245" s="117" t="s">
        <v>374</v>
      </c>
      <c r="K245" s="117" t="s">
        <v>374</v>
      </c>
      <c r="L245" s="117" t="s">
        <v>374</v>
      </c>
      <c r="M245" s="117" t="s">
        <v>374</v>
      </c>
      <c r="N245" s="118" t="s">
        <v>374</v>
      </c>
      <c r="O245" s="65" t="s">
        <v>374</v>
      </c>
      <c r="P245" s="65" t="s">
        <v>374</v>
      </c>
    </row>
    <row r="246" spans="1:20" ht="15.75" customHeight="1">
      <c r="A246" s="120" t="s">
        <v>508</v>
      </c>
      <c r="B246" s="26">
        <f t="shared" si="11"/>
        <v>20167</v>
      </c>
      <c r="C246" s="24">
        <f>'c-10'!G82</f>
        <v>1018</v>
      </c>
      <c r="D246" s="121">
        <f>'c-11'!G34</f>
        <v>19149</v>
      </c>
      <c r="E246" s="117" t="s">
        <v>374</v>
      </c>
      <c r="F246" s="117" t="s">
        <v>374</v>
      </c>
      <c r="G246" s="117" t="s">
        <v>374</v>
      </c>
      <c r="H246" s="117" t="s">
        <v>374</v>
      </c>
      <c r="I246" s="117" t="s">
        <v>374</v>
      </c>
      <c r="J246" s="117" t="s">
        <v>374</v>
      </c>
      <c r="K246" s="117" t="s">
        <v>374</v>
      </c>
      <c r="L246" s="117" t="s">
        <v>374</v>
      </c>
      <c r="M246" s="117" t="s">
        <v>374</v>
      </c>
      <c r="N246" s="118" t="s">
        <v>374</v>
      </c>
      <c r="O246" s="65" t="s">
        <v>374</v>
      </c>
      <c r="P246" s="65" t="s">
        <v>374</v>
      </c>
    </row>
    <row r="247" spans="1:20" ht="15.75" customHeight="1">
      <c r="A247" s="120" t="s">
        <v>509</v>
      </c>
      <c r="B247" s="26">
        <f t="shared" si="11"/>
        <v>9216</v>
      </c>
      <c r="C247" s="24">
        <f>'c-10'!G111</f>
        <v>609</v>
      </c>
      <c r="D247" s="121">
        <f>'c-11'!G43</f>
        <v>8607</v>
      </c>
      <c r="E247" s="117" t="s">
        <v>374</v>
      </c>
      <c r="F247" s="117" t="s">
        <v>374</v>
      </c>
      <c r="G247" s="117" t="s">
        <v>374</v>
      </c>
      <c r="H247" s="117" t="s">
        <v>374</v>
      </c>
      <c r="I247" s="117" t="s">
        <v>374</v>
      </c>
      <c r="J247" s="117" t="s">
        <v>374</v>
      </c>
      <c r="K247" s="117" t="s">
        <v>374</v>
      </c>
      <c r="L247" s="117" t="s">
        <v>374</v>
      </c>
      <c r="M247" s="117" t="s">
        <v>374</v>
      </c>
      <c r="N247" s="118" t="s">
        <v>374</v>
      </c>
      <c r="O247" s="65" t="s">
        <v>374</v>
      </c>
      <c r="P247" s="65" t="s">
        <v>374</v>
      </c>
    </row>
    <row r="248" spans="1:20" ht="15.75" customHeight="1">
      <c r="A248" s="120" t="s">
        <v>510</v>
      </c>
      <c r="B248" s="26">
        <f t="shared" si="11"/>
        <v>9907</v>
      </c>
      <c r="C248" s="24">
        <f>'c-10'!G138</f>
        <v>586</v>
      </c>
      <c r="D248" s="121">
        <f>'c-11'!G52</f>
        <v>9321</v>
      </c>
      <c r="E248" s="117" t="s">
        <v>374</v>
      </c>
      <c r="F248" s="117" t="s">
        <v>374</v>
      </c>
      <c r="G248" s="117" t="s">
        <v>374</v>
      </c>
      <c r="H248" s="117" t="s">
        <v>374</v>
      </c>
      <c r="I248" s="117" t="s">
        <v>374</v>
      </c>
      <c r="J248" s="117" t="s">
        <v>374</v>
      </c>
      <c r="K248" s="117" t="s">
        <v>374</v>
      </c>
      <c r="L248" s="117" t="s">
        <v>374</v>
      </c>
      <c r="M248" s="117" t="s">
        <v>374</v>
      </c>
      <c r="N248" s="118" t="s">
        <v>374</v>
      </c>
      <c r="O248" s="65" t="s">
        <v>374</v>
      </c>
      <c r="P248" s="65" t="s">
        <v>374</v>
      </c>
    </row>
    <row r="249" spans="1:20" ht="15.75" customHeight="1">
      <c r="A249" s="143"/>
      <c r="B249" s="71"/>
      <c r="C249" s="136"/>
      <c r="D249" s="136"/>
      <c r="E249" s="105"/>
      <c r="F249" s="105"/>
      <c r="G249" s="105"/>
      <c r="H249" s="105"/>
      <c r="I249" s="105"/>
      <c r="J249" s="105"/>
      <c r="K249" s="105"/>
      <c r="L249" s="105"/>
      <c r="M249" s="105"/>
      <c r="N249" s="105"/>
      <c r="O249" s="71"/>
      <c r="P249" s="71"/>
    </row>
    <row r="250" spans="1:20" ht="15.75" customHeight="1">
      <c r="A250" s="138"/>
      <c r="B250" s="94"/>
      <c r="C250" s="139"/>
      <c r="D250" s="139"/>
      <c r="E250" s="125"/>
      <c r="F250" s="125"/>
      <c r="G250" s="125"/>
      <c r="H250" s="125"/>
      <c r="I250" s="125"/>
      <c r="J250" s="125"/>
      <c r="K250" s="125"/>
      <c r="L250" s="125"/>
      <c r="M250" s="125"/>
      <c r="N250" s="125"/>
      <c r="O250" s="94"/>
      <c r="P250" s="94"/>
    </row>
    <row r="251" spans="1:20" ht="15.75" customHeight="1">
      <c r="A251" s="138"/>
      <c r="B251" s="125"/>
      <c r="C251" s="139"/>
      <c r="D251" s="139"/>
      <c r="E251" s="125"/>
      <c r="F251" s="125"/>
      <c r="G251" s="125"/>
      <c r="H251" s="125"/>
      <c r="I251" s="125"/>
      <c r="J251" s="125"/>
      <c r="K251" s="125"/>
      <c r="L251" s="125"/>
      <c r="M251" s="125"/>
      <c r="N251" s="125"/>
      <c r="O251" s="94"/>
      <c r="P251" s="94"/>
    </row>
    <row r="252" spans="1:20" s="91" customFormat="1" ht="15.75" customHeight="1">
      <c r="A252" s="93" t="s">
        <v>525</v>
      </c>
      <c r="B252" s="146"/>
      <c r="C252" s="126"/>
      <c r="D252" s="126"/>
      <c r="E252" s="126"/>
      <c r="F252" s="126"/>
      <c r="G252" s="126"/>
      <c r="H252" s="126"/>
      <c r="I252" s="126"/>
      <c r="J252" s="126"/>
      <c r="K252" s="126"/>
      <c r="L252" s="126"/>
      <c r="M252" s="126"/>
      <c r="N252" s="126"/>
      <c r="O252" s="127"/>
      <c r="P252" s="127"/>
      <c r="S252" s="35"/>
      <c r="T252" s="35"/>
    </row>
    <row r="253" spans="1:20" s="91" customFormat="1" ht="15.75" customHeight="1">
      <c r="A253" s="128"/>
      <c r="B253" s="96"/>
      <c r="C253" s="454" t="s">
        <v>222</v>
      </c>
      <c r="D253" s="454"/>
      <c r="E253" s="454"/>
      <c r="F253" s="454"/>
      <c r="G253" s="454"/>
      <c r="H253" s="454"/>
      <c r="I253" s="454"/>
      <c r="J253" s="454"/>
      <c r="K253" s="454"/>
      <c r="L253" s="454"/>
      <c r="M253" s="454"/>
      <c r="N253" s="454"/>
      <c r="O253" s="454"/>
      <c r="P253" s="454"/>
      <c r="S253" s="35"/>
      <c r="T253" s="35"/>
    </row>
    <row r="254" spans="1:20" s="91" customFormat="1" ht="15.75" customHeight="1">
      <c r="A254" s="58" t="s">
        <v>359</v>
      </c>
      <c r="B254" s="97" t="s">
        <v>221</v>
      </c>
      <c r="C254" s="97" t="s">
        <v>333</v>
      </c>
      <c r="D254" s="97" t="s">
        <v>360</v>
      </c>
      <c r="E254" s="97" t="s">
        <v>361</v>
      </c>
      <c r="F254" s="97" t="s">
        <v>228</v>
      </c>
      <c r="G254" s="97" t="s">
        <v>362</v>
      </c>
      <c r="H254" s="97" t="s">
        <v>231</v>
      </c>
      <c r="I254" s="97" t="s">
        <v>232</v>
      </c>
      <c r="J254" s="97" t="s">
        <v>363</v>
      </c>
      <c r="K254" s="97" t="s">
        <v>235</v>
      </c>
      <c r="L254" s="97" t="s">
        <v>364</v>
      </c>
      <c r="M254" s="97" t="s">
        <v>365</v>
      </c>
      <c r="N254" s="98" t="s">
        <v>366</v>
      </c>
      <c r="O254" s="63" t="s">
        <v>367</v>
      </c>
      <c r="P254" s="63" t="s">
        <v>368</v>
      </c>
      <c r="S254" s="35"/>
      <c r="T254" s="35"/>
    </row>
    <row r="255" spans="1:20" s="91" customFormat="1" ht="15.75" customHeight="1">
      <c r="A255" s="129"/>
      <c r="B255" s="101"/>
      <c r="C255" s="101"/>
      <c r="D255" s="101"/>
      <c r="E255" s="102" t="s">
        <v>369</v>
      </c>
      <c r="F255" s="102"/>
      <c r="G255" s="102"/>
      <c r="H255" s="101"/>
      <c r="I255" s="102"/>
      <c r="J255" s="102" t="s">
        <v>370</v>
      </c>
      <c r="K255" s="101"/>
      <c r="L255" s="102" t="s">
        <v>371</v>
      </c>
      <c r="M255" s="102" t="s">
        <v>372</v>
      </c>
      <c r="N255" s="103" t="s">
        <v>373</v>
      </c>
      <c r="O255" s="104" t="s">
        <v>370</v>
      </c>
      <c r="P255" s="105"/>
      <c r="S255" s="35"/>
      <c r="T255" s="35"/>
    </row>
    <row r="256" spans="1:20" ht="15.75" customHeight="1">
      <c r="A256" s="120"/>
      <c r="B256" s="64"/>
      <c r="C256" s="24"/>
      <c r="D256" s="121"/>
      <c r="E256" s="117"/>
      <c r="F256" s="117"/>
      <c r="G256" s="117"/>
      <c r="H256" s="117"/>
      <c r="I256" s="117"/>
      <c r="J256" s="117"/>
      <c r="K256" s="117"/>
      <c r="L256" s="117"/>
      <c r="M256" s="117"/>
      <c r="N256" s="118"/>
      <c r="O256" s="65"/>
      <c r="P256" s="65"/>
    </row>
    <row r="257" spans="1:20" ht="15.75" customHeight="1">
      <c r="A257" s="106" t="s">
        <v>511</v>
      </c>
      <c r="B257" s="62">
        <f>SUM(B259:B265)</f>
        <v>9084</v>
      </c>
      <c r="C257" s="97" t="s">
        <v>374</v>
      </c>
      <c r="D257" s="97" t="s">
        <v>374</v>
      </c>
      <c r="E257" s="97" t="s">
        <v>374</v>
      </c>
      <c r="F257" s="97" t="s">
        <v>374</v>
      </c>
      <c r="G257" s="97" t="s">
        <v>374</v>
      </c>
      <c r="H257" s="62">
        <f>SUM(H259:H265)</f>
        <v>9084</v>
      </c>
      <c r="I257" s="62" t="s">
        <v>374</v>
      </c>
      <c r="J257" s="97" t="s">
        <v>374</v>
      </c>
      <c r="K257" s="97" t="s">
        <v>374</v>
      </c>
      <c r="L257" s="97" t="s">
        <v>374</v>
      </c>
      <c r="M257" s="97" t="s">
        <v>374</v>
      </c>
      <c r="N257" s="98" t="s">
        <v>374</v>
      </c>
      <c r="O257" s="112" t="s">
        <v>374</v>
      </c>
      <c r="P257" s="112" t="s">
        <v>374</v>
      </c>
    </row>
    <row r="258" spans="1:20" ht="15.75" customHeight="1">
      <c r="A258" s="120"/>
      <c r="B258" s="64"/>
      <c r="C258" s="51"/>
      <c r="D258" s="51"/>
      <c r="E258" s="51"/>
      <c r="F258" s="51"/>
      <c r="G258" s="51"/>
      <c r="H258" s="118"/>
      <c r="I258" s="26"/>
      <c r="J258" s="51"/>
      <c r="K258" s="51"/>
      <c r="L258" s="117"/>
      <c r="M258" s="51"/>
      <c r="N258" s="21"/>
      <c r="O258" s="65"/>
      <c r="P258" s="65"/>
    </row>
    <row r="259" spans="1:20" ht="15.75" customHeight="1">
      <c r="A259" s="120" t="s">
        <v>512</v>
      </c>
      <c r="B259" s="26">
        <f t="shared" ref="B259:B265" si="12">SUM(C259:P259)</f>
        <v>4231</v>
      </c>
      <c r="C259" s="117" t="s">
        <v>374</v>
      </c>
      <c r="D259" s="117" t="s">
        <v>374</v>
      </c>
      <c r="E259" s="117" t="s">
        <v>374</v>
      </c>
      <c r="F259" s="117" t="s">
        <v>374</v>
      </c>
      <c r="G259" s="117" t="s">
        <v>374</v>
      </c>
      <c r="H259" s="65">
        <f>'c-17'!G24</f>
        <v>4231</v>
      </c>
      <c r="I259" s="64" t="s">
        <v>374</v>
      </c>
      <c r="J259" s="117" t="s">
        <v>374</v>
      </c>
      <c r="K259" s="117" t="s">
        <v>374</v>
      </c>
      <c r="L259" s="117" t="s">
        <v>374</v>
      </c>
      <c r="M259" s="117" t="s">
        <v>374</v>
      </c>
      <c r="N259" s="118" t="s">
        <v>374</v>
      </c>
      <c r="O259" s="65" t="s">
        <v>374</v>
      </c>
      <c r="P259" s="65" t="s">
        <v>374</v>
      </c>
    </row>
    <row r="260" spans="1:20" ht="15.75" customHeight="1">
      <c r="A260" s="120" t="s">
        <v>513</v>
      </c>
      <c r="B260" s="26">
        <f t="shared" si="12"/>
        <v>1018</v>
      </c>
      <c r="C260" s="117" t="s">
        <v>374</v>
      </c>
      <c r="D260" s="117" t="s">
        <v>374</v>
      </c>
      <c r="E260" s="117" t="s">
        <v>374</v>
      </c>
      <c r="F260" s="117" t="s">
        <v>374</v>
      </c>
      <c r="G260" s="117" t="s">
        <v>374</v>
      </c>
      <c r="H260" s="134">
        <f>'c-17'!G38</f>
        <v>1018</v>
      </c>
      <c r="I260" s="64" t="s">
        <v>374</v>
      </c>
      <c r="J260" s="117" t="s">
        <v>374</v>
      </c>
      <c r="K260" s="117" t="s">
        <v>374</v>
      </c>
      <c r="L260" s="117" t="s">
        <v>374</v>
      </c>
      <c r="M260" s="117" t="s">
        <v>374</v>
      </c>
      <c r="N260" s="118" t="s">
        <v>374</v>
      </c>
      <c r="O260" s="65" t="s">
        <v>374</v>
      </c>
      <c r="P260" s="65" t="s">
        <v>374</v>
      </c>
    </row>
    <row r="261" spans="1:20" ht="15.75" customHeight="1">
      <c r="A261" s="120" t="s">
        <v>514</v>
      </c>
      <c r="B261" s="26">
        <f t="shared" si="12"/>
        <v>1337</v>
      </c>
      <c r="C261" s="117" t="s">
        <v>374</v>
      </c>
      <c r="D261" s="117" t="s">
        <v>374</v>
      </c>
      <c r="E261" s="117" t="s">
        <v>374</v>
      </c>
      <c r="F261" s="117" t="s">
        <v>374</v>
      </c>
      <c r="G261" s="117" t="s">
        <v>374</v>
      </c>
      <c r="H261" s="134">
        <f>'c-17'!G66</f>
        <v>1337</v>
      </c>
      <c r="I261" s="64" t="s">
        <v>374</v>
      </c>
      <c r="J261" s="117" t="s">
        <v>374</v>
      </c>
      <c r="K261" s="117" t="s">
        <v>374</v>
      </c>
      <c r="L261" s="117" t="s">
        <v>374</v>
      </c>
      <c r="M261" s="117" t="s">
        <v>374</v>
      </c>
      <c r="N261" s="118" t="s">
        <v>374</v>
      </c>
      <c r="O261" s="65" t="s">
        <v>374</v>
      </c>
      <c r="P261" s="65" t="s">
        <v>374</v>
      </c>
    </row>
    <row r="262" spans="1:20" ht="15.75" customHeight="1">
      <c r="A262" s="120" t="s">
        <v>515</v>
      </c>
      <c r="B262" s="26">
        <f t="shared" si="12"/>
        <v>1383</v>
      </c>
      <c r="C262" s="117" t="s">
        <v>374</v>
      </c>
      <c r="D262" s="117" t="s">
        <v>374</v>
      </c>
      <c r="E262" s="117" t="s">
        <v>374</v>
      </c>
      <c r="F262" s="117" t="s">
        <v>374</v>
      </c>
      <c r="G262" s="117" t="s">
        <v>374</v>
      </c>
      <c r="H262" s="65">
        <f>'c-17'!G76</f>
        <v>1383</v>
      </c>
      <c r="I262" s="64" t="s">
        <v>374</v>
      </c>
      <c r="J262" s="117" t="s">
        <v>374</v>
      </c>
      <c r="K262" s="117" t="s">
        <v>374</v>
      </c>
      <c r="L262" s="117" t="s">
        <v>374</v>
      </c>
      <c r="M262" s="117" t="s">
        <v>374</v>
      </c>
      <c r="N262" s="118" t="s">
        <v>374</v>
      </c>
      <c r="O262" s="65" t="s">
        <v>374</v>
      </c>
      <c r="P262" s="65" t="s">
        <v>374</v>
      </c>
    </row>
    <row r="263" spans="1:20" ht="15.75" customHeight="1">
      <c r="A263" s="120" t="s">
        <v>313</v>
      </c>
      <c r="B263" s="26">
        <f t="shared" si="12"/>
        <v>205</v>
      </c>
      <c r="C263" s="117" t="s">
        <v>374</v>
      </c>
      <c r="D263" s="117" t="s">
        <v>374</v>
      </c>
      <c r="E263" s="117" t="s">
        <v>374</v>
      </c>
      <c r="F263" s="117" t="s">
        <v>374</v>
      </c>
      <c r="G263" s="117" t="s">
        <v>374</v>
      </c>
      <c r="H263" s="65">
        <f>'c-17'!G96</f>
        <v>205</v>
      </c>
      <c r="I263" s="64" t="s">
        <v>374</v>
      </c>
      <c r="J263" s="117" t="s">
        <v>374</v>
      </c>
      <c r="K263" s="117" t="s">
        <v>374</v>
      </c>
      <c r="L263" s="117" t="s">
        <v>374</v>
      </c>
      <c r="M263" s="117" t="s">
        <v>374</v>
      </c>
      <c r="N263" s="117" t="s">
        <v>374</v>
      </c>
      <c r="O263" s="118" t="s">
        <v>374</v>
      </c>
      <c r="P263" s="66" t="s">
        <v>374</v>
      </c>
      <c r="S263" s="91"/>
      <c r="T263" s="91"/>
    </row>
    <row r="264" spans="1:20" ht="15.75" customHeight="1">
      <c r="A264" s="120" t="s">
        <v>314</v>
      </c>
      <c r="B264" s="26">
        <f t="shared" si="12"/>
        <v>474</v>
      </c>
      <c r="C264" s="117" t="s">
        <v>374</v>
      </c>
      <c r="D264" s="117" t="s">
        <v>374</v>
      </c>
      <c r="E264" s="117" t="s">
        <v>374</v>
      </c>
      <c r="F264" s="117" t="s">
        <v>374</v>
      </c>
      <c r="G264" s="117" t="s">
        <v>374</v>
      </c>
      <c r="H264" s="65">
        <f>'c-17'!G106</f>
        <v>474</v>
      </c>
      <c r="I264" s="64" t="s">
        <v>374</v>
      </c>
      <c r="J264" s="117" t="s">
        <v>374</v>
      </c>
      <c r="K264" s="117" t="s">
        <v>374</v>
      </c>
      <c r="L264" s="117" t="s">
        <v>374</v>
      </c>
      <c r="M264" s="117" t="s">
        <v>374</v>
      </c>
      <c r="N264" s="118" t="s">
        <v>374</v>
      </c>
      <c r="O264" s="65" t="s">
        <v>374</v>
      </c>
      <c r="P264" s="65" t="s">
        <v>374</v>
      </c>
    </row>
    <row r="265" spans="1:20" ht="15.75" customHeight="1">
      <c r="A265" s="120" t="s">
        <v>315</v>
      </c>
      <c r="B265" s="26">
        <f t="shared" si="12"/>
        <v>436</v>
      </c>
      <c r="C265" s="117" t="s">
        <v>374</v>
      </c>
      <c r="D265" s="117" t="s">
        <v>374</v>
      </c>
      <c r="E265" s="117" t="s">
        <v>374</v>
      </c>
      <c r="F265" s="117" t="s">
        <v>374</v>
      </c>
      <c r="G265" s="117" t="s">
        <v>374</v>
      </c>
      <c r="H265" s="134">
        <f>'c-17'!G133</f>
        <v>436</v>
      </c>
      <c r="I265" s="64" t="s">
        <v>374</v>
      </c>
      <c r="J265" s="117" t="s">
        <v>374</v>
      </c>
      <c r="K265" s="117" t="s">
        <v>374</v>
      </c>
      <c r="L265" s="117" t="s">
        <v>374</v>
      </c>
      <c r="M265" s="117" t="s">
        <v>374</v>
      </c>
      <c r="N265" s="118" t="s">
        <v>374</v>
      </c>
      <c r="O265" s="65" t="s">
        <v>374</v>
      </c>
      <c r="P265" s="65" t="s">
        <v>374</v>
      </c>
    </row>
    <row r="266" spans="1:20" ht="15.75" customHeight="1">
      <c r="A266" s="113"/>
      <c r="B266" s="26"/>
      <c r="C266" s="51"/>
      <c r="D266" s="51"/>
      <c r="E266" s="51"/>
      <c r="F266" s="51"/>
      <c r="G266" s="51"/>
      <c r="H266" s="21"/>
      <c r="I266" s="26"/>
      <c r="J266" s="51"/>
      <c r="K266" s="51"/>
      <c r="L266" s="117"/>
      <c r="M266" s="51"/>
      <c r="N266" s="21"/>
      <c r="O266" s="65"/>
      <c r="P266" s="65"/>
    </row>
    <row r="267" spans="1:20" ht="15.75" customHeight="1">
      <c r="A267" s="106" t="s">
        <v>316</v>
      </c>
      <c r="B267" s="62">
        <f>SUM(B269:B284)</f>
        <v>35876</v>
      </c>
      <c r="C267" s="97" t="s">
        <v>374</v>
      </c>
      <c r="D267" s="97" t="s">
        <v>374</v>
      </c>
      <c r="E267" s="97" t="s">
        <v>374</v>
      </c>
      <c r="F267" s="97" t="s">
        <v>374</v>
      </c>
      <c r="G267" s="97" t="s">
        <v>374</v>
      </c>
      <c r="H267" s="97" t="s">
        <v>374</v>
      </c>
      <c r="I267" s="97" t="s">
        <v>374</v>
      </c>
      <c r="J267" s="62">
        <f>SUM(J269:J284)</f>
        <v>13274</v>
      </c>
      <c r="K267" s="62">
        <f>SUM(K269:K284)</f>
        <v>786</v>
      </c>
      <c r="L267" s="62">
        <f>SUM(L269:L284)</f>
        <v>21816</v>
      </c>
      <c r="M267" s="97" t="s">
        <v>374</v>
      </c>
      <c r="N267" s="98" t="s">
        <v>374</v>
      </c>
      <c r="O267" s="112" t="s">
        <v>374</v>
      </c>
      <c r="P267" s="112" t="s">
        <v>374</v>
      </c>
    </row>
    <row r="268" spans="1:20" ht="15.75" customHeight="1">
      <c r="A268" s="120"/>
      <c r="B268" s="64"/>
      <c r="C268" s="51"/>
      <c r="D268" s="51"/>
      <c r="E268" s="51"/>
      <c r="F268" s="51"/>
      <c r="G268" s="51"/>
      <c r="H268" s="51"/>
      <c r="I268" s="51"/>
      <c r="J268" s="64"/>
      <c r="K268" s="117"/>
      <c r="L268" s="117"/>
      <c r="M268" s="51"/>
      <c r="N268" s="21"/>
      <c r="O268" s="65"/>
      <c r="P268" s="65"/>
    </row>
    <row r="269" spans="1:20" ht="15.75" customHeight="1">
      <c r="A269" s="120" t="s">
        <v>376</v>
      </c>
      <c r="B269" s="26">
        <f t="shared" ref="B269:B284" si="13">SUM(C269:P269)</f>
        <v>4052</v>
      </c>
      <c r="C269" s="117" t="s">
        <v>374</v>
      </c>
      <c r="D269" s="117" t="s">
        <v>374</v>
      </c>
      <c r="E269" s="117" t="s">
        <v>374</v>
      </c>
      <c r="F269" s="117" t="s">
        <v>374</v>
      </c>
      <c r="G269" s="117" t="s">
        <v>374</v>
      </c>
      <c r="H269" s="117" t="s">
        <v>374</v>
      </c>
      <c r="I269" s="117" t="s">
        <v>374</v>
      </c>
      <c r="J269" s="26">
        <f>'c-23'!G12</f>
        <v>4052</v>
      </c>
      <c r="K269" s="117" t="s">
        <v>374</v>
      </c>
      <c r="L269" s="117" t="s">
        <v>374</v>
      </c>
      <c r="M269" s="117" t="s">
        <v>374</v>
      </c>
      <c r="N269" s="118" t="s">
        <v>374</v>
      </c>
      <c r="O269" s="65" t="s">
        <v>374</v>
      </c>
      <c r="P269" s="65" t="s">
        <v>374</v>
      </c>
    </row>
    <row r="270" spans="1:20" ht="15.75" customHeight="1">
      <c r="A270" s="120" t="s">
        <v>892</v>
      </c>
      <c r="B270" s="26">
        <f t="shared" si="13"/>
        <v>1605</v>
      </c>
      <c r="C270" s="117" t="s">
        <v>374</v>
      </c>
      <c r="D270" s="117" t="s">
        <v>374</v>
      </c>
      <c r="E270" s="117" t="s">
        <v>374</v>
      </c>
      <c r="F270" s="117" t="s">
        <v>374</v>
      </c>
      <c r="G270" s="117" t="s">
        <v>374</v>
      </c>
      <c r="H270" s="117" t="s">
        <v>374</v>
      </c>
      <c r="I270" s="117" t="s">
        <v>374</v>
      </c>
      <c r="J270" s="26">
        <f>'c-23'!G24</f>
        <v>1605</v>
      </c>
      <c r="K270" s="117" t="s">
        <v>374</v>
      </c>
      <c r="L270" s="117" t="s">
        <v>374</v>
      </c>
      <c r="M270" s="117" t="s">
        <v>374</v>
      </c>
      <c r="N270" s="118" t="s">
        <v>374</v>
      </c>
      <c r="O270" s="65" t="s">
        <v>374</v>
      </c>
      <c r="P270" s="65" t="s">
        <v>374</v>
      </c>
    </row>
    <row r="271" spans="1:20" ht="15.75" customHeight="1">
      <c r="A271" s="120" t="s">
        <v>317</v>
      </c>
      <c r="B271" s="26">
        <f t="shared" si="13"/>
        <v>2156</v>
      </c>
      <c r="C271" s="117" t="s">
        <v>374</v>
      </c>
      <c r="D271" s="117" t="s">
        <v>374</v>
      </c>
      <c r="E271" s="117" t="s">
        <v>374</v>
      </c>
      <c r="F271" s="117" t="s">
        <v>374</v>
      </c>
      <c r="G271" s="117" t="s">
        <v>374</v>
      </c>
      <c r="H271" s="117" t="s">
        <v>374</v>
      </c>
      <c r="I271" s="117" t="s">
        <v>374</v>
      </c>
      <c r="J271" s="26">
        <f>'c-23'!G21</f>
        <v>2156</v>
      </c>
      <c r="K271" s="117" t="s">
        <v>374</v>
      </c>
      <c r="L271" s="117" t="s">
        <v>374</v>
      </c>
      <c r="M271" s="117" t="s">
        <v>374</v>
      </c>
      <c r="N271" s="118" t="s">
        <v>374</v>
      </c>
      <c r="O271" s="65" t="s">
        <v>374</v>
      </c>
      <c r="P271" s="65" t="s">
        <v>374</v>
      </c>
    </row>
    <row r="272" spans="1:20" ht="15.75" customHeight="1">
      <c r="A272" s="120" t="s">
        <v>318</v>
      </c>
      <c r="B272" s="26">
        <f t="shared" si="13"/>
        <v>5240</v>
      </c>
      <c r="C272" s="117" t="s">
        <v>374</v>
      </c>
      <c r="D272" s="117" t="s">
        <v>374</v>
      </c>
      <c r="E272" s="117" t="s">
        <v>374</v>
      </c>
      <c r="F272" s="117" t="s">
        <v>374</v>
      </c>
      <c r="G272" s="117" t="s">
        <v>374</v>
      </c>
      <c r="H272" s="117" t="s">
        <v>374</v>
      </c>
      <c r="I272" s="117" t="s">
        <v>374</v>
      </c>
      <c r="J272" s="26">
        <f>'c-23'!G97</f>
        <v>528</v>
      </c>
      <c r="K272" s="117" t="s">
        <v>374</v>
      </c>
      <c r="L272" s="24">
        <f>'c-15'!H98</f>
        <v>4712</v>
      </c>
      <c r="M272" s="117" t="s">
        <v>374</v>
      </c>
      <c r="N272" s="118" t="s">
        <v>374</v>
      </c>
      <c r="O272" s="65" t="s">
        <v>374</v>
      </c>
      <c r="P272" s="65" t="s">
        <v>374</v>
      </c>
    </row>
    <row r="273" spans="1:20" ht="15.75" customHeight="1">
      <c r="A273" s="120" t="s">
        <v>319</v>
      </c>
      <c r="B273" s="26">
        <f t="shared" si="13"/>
        <v>120</v>
      </c>
      <c r="C273" s="117" t="s">
        <v>374</v>
      </c>
      <c r="D273" s="117" t="s">
        <v>374</v>
      </c>
      <c r="E273" s="117" t="s">
        <v>374</v>
      </c>
      <c r="F273" s="117" t="s">
        <v>374</v>
      </c>
      <c r="G273" s="117" t="s">
        <v>374</v>
      </c>
      <c r="H273" s="117" t="s">
        <v>374</v>
      </c>
      <c r="I273" s="117" t="s">
        <v>374</v>
      </c>
      <c r="J273" s="26">
        <f>'c-23'!G32</f>
        <v>120</v>
      </c>
      <c r="K273" s="117" t="s">
        <v>374</v>
      </c>
      <c r="L273" s="117" t="s">
        <v>374</v>
      </c>
      <c r="M273" s="117" t="s">
        <v>374</v>
      </c>
      <c r="N273" s="118" t="s">
        <v>374</v>
      </c>
      <c r="O273" s="65" t="s">
        <v>374</v>
      </c>
      <c r="P273" s="65" t="s">
        <v>374</v>
      </c>
    </row>
    <row r="274" spans="1:20" ht="15.75" customHeight="1">
      <c r="A274" s="120" t="s">
        <v>1032</v>
      </c>
      <c r="B274" s="26">
        <f t="shared" si="13"/>
        <v>2083</v>
      </c>
      <c r="C274" s="117" t="s">
        <v>374</v>
      </c>
      <c r="D274" s="117" t="s">
        <v>374</v>
      </c>
      <c r="E274" s="117" t="s">
        <v>374</v>
      </c>
      <c r="F274" s="117" t="s">
        <v>374</v>
      </c>
      <c r="G274" s="117" t="s">
        <v>374</v>
      </c>
      <c r="H274" s="117" t="s">
        <v>374</v>
      </c>
      <c r="I274" s="117" t="s">
        <v>374</v>
      </c>
      <c r="J274" s="26">
        <f>'c-23'!G46</f>
        <v>273</v>
      </c>
      <c r="K274" s="117" t="s">
        <v>374</v>
      </c>
      <c r="L274" s="24">
        <f>'c-15'!H49</f>
        <v>1810</v>
      </c>
      <c r="M274" s="117" t="s">
        <v>374</v>
      </c>
      <c r="N274" s="118" t="s">
        <v>374</v>
      </c>
      <c r="O274" s="65" t="s">
        <v>374</v>
      </c>
      <c r="P274" s="65" t="s">
        <v>374</v>
      </c>
    </row>
    <row r="275" spans="1:20" ht="15.75" customHeight="1">
      <c r="A275" s="120" t="s">
        <v>1031</v>
      </c>
      <c r="B275" s="26">
        <f t="shared" si="13"/>
        <v>1930</v>
      </c>
      <c r="C275" s="117" t="s">
        <v>374</v>
      </c>
      <c r="D275" s="117" t="s">
        <v>374</v>
      </c>
      <c r="E275" s="117" t="s">
        <v>374</v>
      </c>
      <c r="F275" s="117" t="s">
        <v>374</v>
      </c>
      <c r="G275" s="117" t="s">
        <v>374</v>
      </c>
      <c r="H275" s="117" t="s">
        <v>374</v>
      </c>
      <c r="I275" s="117" t="s">
        <v>374</v>
      </c>
      <c r="J275" s="117" t="s">
        <v>374</v>
      </c>
      <c r="K275" s="117" t="s">
        <v>374</v>
      </c>
      <c r="L275" s="24">
        <f>'c-15'!H50</f>
        <v>1930</v>
      </c>
      <c r="M275" s="117" t="s">
        <v>374</v>
      </c>
      <c r="N275" s="117" t="s">
        <v>374</v>
      </c>
      <c r="O275" s="117" t="s">
        <v>374</v>
      </c>
      <c r="P275" s="117" t="s">
        <v>374</v>
      </c>
    </row>
    <row r="276" spans="1:20" s="91" customFormat="1" ht="15.75" customHeight="1">
      <c r="A276" s="120" t="s">
        <v>320</v>
      </c>
      <c r="B276" s="26">
        <f t="shared" si="13"/>
        <v>5997</v>
      </c>
      <c r="C276" s="117" t="s">
        <v>374</v>
      </c>
      <c r="D276" s="117" t="s">
        <v>374</v>
      </c>
      <c r="E276" s="117" t="s">
        <v>374</v>
      </c>
      <c r="F276" s="117" t="s">
        <v>374</v>
      </c>
      <c r="G276" s="117" t="s">
        <v>374</v>
      </c>
      <c r="H276" s="117" t="s">
        <v>374</v>
      </c>
      <c r="I276" s="117" t="s">
        <v>374</v>
      </c>
      <c r="J276" s="26">
        <f>'c-23'!G39</f>
        <v>451</v>
      </c>
      <c r="K276" s="117" t="s">
        <v>374</v>
      </c>
      <c r="L276" s="24">
        <f>'c-15'!H39</f>
        <v>5546</v>
      </c>
      <c r="M276" s="117" t="s">
        <v>374</v>
      </c>
      <c r="N276" s="118" t="s">
        <v>374</v>
      </c>
      <c r="O276" s="65" t="s">
        <v>374</v>
      </c>
      <c r="P276" s="65" t="s">
        <v>374</v>
      </c>
      <c r="S276" s="35"/>
      <c r="T276" s="35"/>
    </row>
    <row r="277" spans="1:20" ht="15.75" customHeight="1">
      <c r="A277" s="120" t="s">
        <v>321</v>
      </c>
      <c r="B277" s="26">
        <f t="shared" si="13"/>
        <v>395</v>
      </c>
      <c r="C277" s="117" t="s">
        <v>374</v>
      </c>
      <c r="D277" s="117" t="s">
        <v>374</v>
      </c>
      <c r="E277" s="117" t="s">
        <v>374</v>
      </c>
      <c r="F277" s="117" t="s">
        <v>374</v>
      </c>
      <c r="G277" s="117" t="s">
        <v>374</v>
      </c>
      <c r="H277" s="117" t="s">
        <v>374</v>
      </c>
      <c r="I277" s="117" t="s">
        <v>374</v>
      </c>
      <c r="J277" s="26">
        <f>'c-23'!G54</f>
        <v>395</v>
      </c>
      <c r="K277" s="117" t="s">
        <v>374</v>
      </c>
      <c r="L277" s="64" t="s">
        <v>374</v>
      </c>
      <c r="M277" s="117" t="s">
        <v>374</v>
      </c>
      <c r="N277" s="118" t="s">
        <v>374</v>
      </c>
      <c r="O277" s="65" t="s">
        <v>374</v>
      </c>
      <c r="P277" s="65" t="s">
        <v>374</v>
      </c>
    </row>
    <row r="278" spans="1:20" ht="15.75" customHeight="1">
      <c r="A278" s="120" t="s">
        <v>426</v>
      </c>
      <c r="B278" s="26">
        <f t="shared" si="13"/>
        <v>615</v>
      </c>
      <c r="C278" s="117" t="s">
        <v>374</v>
      </c>
      <c r="D278" s="117" t="s">
        <v>374</v>
      </c>
      <c r="E278" s="117" t="s">
        <v>374</v>
      </c>
      <c r="F278" s="117" t="s">
        <v>374</v>
      </c>
      <c r="G278" s="117" t="s">
        <v>374</v>
      </c>
      <c r="H278" s="117" t="s">
        <v>374</v>
      </c>
      <c r="I278" s="117" t="s">
        <v>374</v>
      </c>
      <c r="J278" s="26">
        <f>'c-23'!G63</f>
        <v>615</v>
      </c>
      <c r="K278" s="117" t="s">
        <v>374</v>
      </c>
      <c r="L278" s="64" t="s">
        <v>374</v>
      </c>
      <c r="M278" s="117" t="s">
        <v>374</v>
      </c>
      <c r="N278" s="118" t="s">
        <v>374</v>
      </c>
      <c r="O278" s="65" t="s">
        <v>374</v>
      </c>
      <c r="P278" s="65" t="s">
        <v>374</v>
      </c>
    </row>
    <row r="279" spans="1:20" ht="15.75" customHeight="1">
      <c r="A279" s="120" t="s">
        <v>529</v>
      </c>
      <c r="B279" s="26">
        <f t="shared" si="13"/>
        <v>3965</v>
      </c>
      <c r="C279" s="117" t="s">
        <v>374</v>
      </c>
      <c r="D279" s="117" t="s">
        <v>374</v>
      </c>
      <c r="E279" s="117" t="s">
        <v>374</v>
      </c>
      <c r="F279" s="117" t="s">
        <v>374</v>
      </c>
      <c r="G279" s="117" t="s">
        <v>374</v>
      </c>
      <c r="H279" s="117" t="s">
        <v>374</v>
      </c>
      <c r="I279" s="117" t="s">
        <v>374</v>
      </c>
      <c r="J279" s="24">
        <f>'c-23'!G71</f>
        <v>600</v>
      </c>
      <c r="K279" s="117" t="s">
        <v>374</v>
      </c>
      <c r="L279" s="64">
        <f>'c-15'!H72</f>
        <v>3365</v>
      </c>
      <c r="M279" s="117" t="s">
        <v>374</v>
      </c>
      <c r="N279" s="118" t="s">
        <v>374</v>
      </c>
      <c r="O279" s="65" t="s">
        <v>374</v>
      </c>
      <c r="P279" s="65" t="s">
        <v>374</v>
      </c>
    </row>
    <row r="280" spans="1:20" ht="15.75" customHeight="1">
      <c r="A280" s="120" t="s">
        <v>530</v>
      </c>
      <c r="B280" s="26">
        <f t="shared" si="13"/>
        <v>2834</v>
      </c>
      <c r="C280" s="117" t="s">
        <v>374</v>
      </c>
      <c r="D280" s="117" t="s">
        <v>374</v>
      </c>
      <c r="E280" s="117" t="s">
        <v>374</v>
      </c>
      <c r="F280" s="117" t="s">
        <v>374</v>
      </c>
      <c r="G280" s="117" t="s">
        <v>374</v>
      </c>
      <c r="H280" s="117" t="s">
        <v>374</v>
      </c>
      <c r="I280" s="117" t="s">
        <v>374</v>
      </c>
      <c r="J280" s="24">
        <f>'c-23'!G79</f>
        <v>271</v>
      </c>
      <c r="K280" s="117" t="s">
        <v>374</v>
      </c>
      <c r="L280" s="24">
        <f>'c-15'!H80</f>
        <v>2563</v>
      </c>
      <c r="M280" s="117" t="s">
        <v>374</v>
      </c>
      <c r="N280" s="118" t="s">
        <v>374</v>
      </c>
      <c r="O280" s="65" t="s">
        <v>374</v>
      </c>
      <c r="P280" s="65" t="s">
        <v>374</v>
      </c>
    </row>
    <row r="281" spans="1:20" ht="15.75" customHeight="1">
      <c r="A281" s="120" t="s">
        <v>531</v>
      </c>
      <c r="B281" s="26">
        <f t="shared" si="13"/>
        <v>2404</v>
      </c>
      <c r="C281" s="117" t="s">
        <v>374</v>
      </c>
      <c r="D281" s="117" t="s">
        <v>374</v>
      </c>
      <c r="E281" s="117" t="s">
        <v>374</v>
      </c>
      <c r="F281" s="117" t="s">
        <v>374</v>
      </c>
      <c r="G281" s="117" t="s">
        <v>374</v>
      </c>
      <c r="H281" s="117" t="s">
        <v>374</v>
      </c>
      <c r="I281" s="117" t="s">
        <v>374</v>
      </c>
      <c r="J281" s="24">
        <f>'c-23'!G80</f>
        <v>514</v>
      </c>
      <c r="K281" s="117" t="s">
        <v>374</v>
      </c>
      <c r="L281" s="24">
        <f>'c-15'!H82</f>
        <v>1890</v>
      </c>
      <c r="M281" s="117" t="s">
        <v>374</v>
      </c>
      <c r="N281" s="118" t="s">
        <v>374</v>
      </c>
      <c r="O281" s="65" t="s">
        <v>374</v>
      </c>
      <c r="P281" s="65" t="s">
        <v>374</v>
      </c>
    </row>
    <row r="282" spans="1:20" ht="15.75" customHeight="1">
      <c r="A282" s="120" t="s">
        <v>558</v>
      </c>
      <c r="B282" s="26">
        <f t="shared" si="13"/>
        <v>325</v>
      </c>
      <c r="C282" s="117" t="s">
        <v>374</v>
      </c>
      <c r="D282" s="117" t="s">
        <v>374</v>
      </c>
      <c r="E282" s="117" t="s">
        <v>374</v>
      </c>
      <c r="F282" s="117" t="s">
        <v>374</v>
      </c>
      <c r="G282" s="117" t="s">
        <v>374</v>
      </c>
      <c r="H282" s="117" t="s">
        <v>374</v>
      </c>
      <c r="I282" s="117" t="s">
        <v>374</v>
      </c>
      <c r="J282" s="24">
        <f>'c-23'!G87</f>
        <v>325</v>
      </c>
      <c r="K282" s="117" t="s">
        <v>374</v>
      </c>
      <c r="L282" s="64" t="s">
        <v>374</v>
      </c>
      <c r="M282" s="117" t="s">
        <v>374</v>
      </c>
      <c r="N282" s="118" t="s">
        <v>374</v>
      </c>
      <c r="O282" s="65" t="s">
        <v>374</v>
      </c>
      <c r="P282" s="65" t="s">
        <v>374</v>
      </c>
    </row>
    <row r="283" spans="1:20" ht="15.75" customHeight="1">
      <c r="A283" s="120" t="s">
        <v>510</v>
      </c>
      <c r="B283" s="26">
        <f t="shared" si="13"/>
        <v>655</v>
      </c>
      <c r="C283" s="117" t="s">
        <v>374</v>
      </c>
      <c r="D283" s="117" t="s">
        <v>374</v>
      </c>
      <c r="E283" s="117" t="s">
        <v>374</v>
      </c>
      <c r="F283" s="117" t="s">
        <v>374</v>
      </c>
      <c r="G283" s="117" t="s">
        <v>374</v>
      </c>
      <c r="H283" s="117" t="s">
        <v>374</v>
      </c>
      <c r="I283" s="117" t="s">
        <v>374</v>
      </c>
      <c r="J283" s="26">
        <f>'c-23'!G108</f>
        <v>655</v>
      </c>
      <c r="K283" s="117" t="s">
        <v>374</v>
      </c>
      <c r="L283" s="117" t="s">
        <v>374</v>
      </c>
      <c r="M283" s="117" t="s">
        <v>374</v>
      </c>
      <c r="N283" s="118" t="s">
        <v>374</v>
      </c>
      <c r="O283" s="65" t="s">
        <v>374</v>
      </c>
      <c r="P283" s="65" t="s">
        <v>374</v>
      </c>
      <c r="S283" s="91"/>
      <c r="T283" s="91"/>
    </row>
    <row r="284" spans="1:20" ht="15.75" customHeight="1">
      <c r="A284" s="120" t="s">
        <v>769</v>
      </c>
      <c r="B284" s="26">
        <f t="shared" si="13"/>
        <v>1500</v>
      </c>
      <c r="C284" s="117" t="s">
        <v>374</v>
      </c>
      <c r="D284" s="117" t="s">
        <v>374</v>
      </c>
      <c r="E284" s="117" t="s">
        <v>374</v>
      </c>
      <c r="F284" s="117" t="s">
        <v>374</v>
      </c>
      <c r="G284" s="117" t="s">
        <v>374</v>
      </c>
      <c r="H284" s="117" t="s">
        <v>374</v>
      </c>
      <c r="I284" s="117" t="s">
        <v>374</v>
      </c>
      <c r="J284" s="26">
        <f>'c-23'!G113</f>
        <v>714</v>
      </c>
      <c r="K284" s="117">
        <f>'c-24'!G99</f>
        <v>786</v>
      </c>
      <c r="L284" s="117" t="s">
        <v>374</v>
      </c>
      <c r="M284" s="117" t="s">
        <v>374</v>
      </c>
      <c r="N284" s="118" t="s">
        <v>374</v>
      </c>
      <c r="O284" s="65" t="s">
        <v>374</v>
      </c>
      <c r="P284" s="65" t="s">
        <v>374</v>
      </c>
      <c r="S284" s="91"/>
      <c r="T284" s="91"/>
    </row>
    <row r="285" spans="1:20" ht="15.75" customHeight="1">
      <c r="A285" s="113"/>
      <c r="B285" s="26"/>
      <c r="C285" s="117"/>
      <c r="D285" s="117"/>
      <c r="E285" s="117"/>
      <c r="F285" s="117"/>
      <c r="G285" s="117"/>
      <c r="H285" s="117"/>
      <c r="I285" s="51"/>
      <c r="J285" s="26"/>
      <c r="K285" s="51"/>
      <c r="L285" s="117"/>
      <c r="M285" s="51"/>
      <c r="N285" s="21"/>
      <c r="O285" s="65"/>
      <c r="P285" s="65"/>
    </row>
    <row r="286" spans="1:20" ht="15.75" customHeight="1">
      <c r="A286" s="106" t="s">
        <v>235</v>
      </c>
      <c r="B286" s="62">
        <f>SUM(B288:B301)</f>
        <v>23724</v>
      </c>
      <c r="C286" s="97" t="s">
        <v>374</v>
      </c>
      <c r="D286" s="97" t="s">
        <v>374</v>
      </c>
      <c r="E286" s="97" t="s">
        <v>374</v>
      </c>
      <c r="F286" s="97" t="s">
        <v>374</v>
      </c>
      <c r="G286" s="97" t="s">
        <v>374</v>
      </c>
      <c r="H286" s="97" t="s">
        <v>374</v>
      </c>
      <c r="I286" s="97" t="s">
        <v>374</v>
      </c>
      <c r="J286" s="62" t="s">
        <v>374</v>
      </c>
      <c r="K286" s="97">
        <f>SUM(K288:K301)</f>
        <v>23724</v>
      </c>
      <c r="L286" s="97" t="s">
        <v>374</v>
      </c>
      <c r="M286" s="97" t="s">
        <v>374</v>
      </c>
      <c r="N286" s="98" t="s">
        <v>374</v>
      </c>
      <c r="O286" s="112" t="s">
        <v>374</v>
      </c>
      <c r="P286" s="112" t="s">
        <v>374</v>
      </c>
    </row>
    <row r="287" spans="1:20" ht="15.75" customHeight="1">
      <c r="A287" s="120"/>
      <c r="B287" s="64"/>
      <c r="C287" s="117"/>
      <c r="D287" s="117"/>
      <c r="E287" s="117"/>
      <c r="F287" s="117"/>
      <c r="G287" s="117"/>
      <c r="H287" s="117"/>
      <c r="I287" s="117"/>
      <c r="J287" s="64"/>
      <c r="K287" s="117"/>
      <c r="L287" s="117"/>
      <c r="M287" s="117"/>
      <c r="N287" s="118"/>
      <c r="O287" s="65"/>
      <c r="P287" s="65"/>
    </row>
    <row r="288" spans="1:20" ht="15.75" customHeight="1">
      <c r="A288" s="120" t="s">
        <v>376</v>
      </c>
      <c r="B288" s="26">
        <f t="shared" ref="B288:B301" si="14">SUM(C288:P288)</f>
        <v>3970</v>
      </c>
      <c r="C288" s="117" t="s">
        <v>374</v>
      </c>
      <c r="D288" s="117" t="s">
        <v>374</v>
      </c>
      <c r="E288" s="117" t="s">
        <v>374</v>
      </c>
      <c r="F288" s="117" t="s">
        <v>374</v>
      </c>
      <c r="G288" s="117" t="s">
        <v>374</v>
      </c>
      <c r="H288" s="117" t="s">
        <v>374</v>
      </c>
      <c r="I288" s="117" t="s">
        <v>374</v>
      </c>
      <c r="J288" s="64" t="s">
        <v>374</v>
      </c>
      <c r="K288" s="51">
        <f>'c-24'!G12</f>
        <v>3970</v>
      </c>
      <c r="L288" s="117" t="s">
        <v>374</v>
      </c>
      <c r="M288" s="117" t="s">
        <v>374</v>
      </c>
      <c r="N288" s="118" t="s">
        <v>374</v>
      </c>
      <c r="O288" s="65" t="s">
        <v>374</v>
      </c>
      <c r="P288" s="65" t="s">
        <v>374</v>
      </c>
    </row>
    <row r="289" spans="1:20" ht="15.75" customHeight="1">
      <c r="A289" s="120" t="s">
        <v>317</v>
      </c>
      <c r="B289" s="26">
        <f t="shared" si="14"/>
        <v>7320</v>
      </c>
      <c r="C289" s="117" t="s">
        <v>374</v>
      </c>
      <c r="D289" s="117" t="s">
        <v>374</v>
      </c>
      <c r="E289" s="117" t="s">
        <v>374</v>
      </c>
      <c r="F289" s="117" t="s">
        <v>374</v>
      </c>
      <c r="G289" s="117" t="s">
        <v>374</v>
      </c>
      <c r="H289" s="117" t="s">
        <v>374</v>
      </c>
      <c r="I289" s="117" t="s">
        <v>374</v>
      </c>
      <c r="J289" s="64" t="s">
        <v>374</v>
      </c>
      <c r="K289" s="51">
        <f>'c-24'!G19</f>
        <v>7320</v>
      </c>
      <c r="L289" s="117" t="s">
        <v>374</v>
      </c>
      <c r="M289" s="117" t="s">
        <v>374</v>
      </c>
      <c r="N289" s="118" t="s">
        <v>374</v>
      </c>
      <c r="O289" s="65" t="s">
        <v>374</v>
      </c>
      <c r="P289" s="65" t="s">
        <v>374</v>
      </c>
    </row>
    <row r="290" spans="1:20" ht="15.75" customHeight="1">
      <c r="A290" s="120" t="s">
        <v>893</v>
      </c>
      <c r="B290" s="26">
        <f t="shared" si="14"/>
        <v>590</v>
      </c>
      <c r="C290" s="117" t="s">
        <v>374</v>
      </c>
      <c r="D290" s="117" t="s">
        <v>374</v>
      </c>
      <c r="E290" s="117" t="s">
        <v>374</v>
      </c>
      <c r="F290" s="117" t="s">
        <v>374</v>
      </c>
      <c r="G290" s="117" t="s">
        <v>374</v>
      </c>
      <c r="H290" s="117" t="s">
        <v>374</v>
      </c>
      <c r="I290" s="117" t="s">
        <v>374</v>
      </c>
      <c r="J290" s="117" t="s">
        <v>374</v>
      </c>
      <c r="K290" s="26">
        <f>'c-24'!G24</f>
        <v>590</v>
      </c>
      <c r="L290" s="117" t="s">
        <v>374</v>
      </c>
      <c r="M290" s="117" t="s">
        <v>374</v>
      </c>
      <c r="N290" s="118" t="s">
        <v>374</v>
      </c>
      <c r="O290" s="65" t="s">
        <v>374</v>
      </c>
      <c r="P290" s="65" t="s">
        <v>374</v>
      </c>
    </row>
    <row r="291" spans="1:20" ht="15.75" customHeight="1">
      <c r="A291" s="120" t="s">
        <v>892</v>
      </c>
      <c r="B291" s="26">
        <f t="shared" si="14"/>
        <v>862</v>
      </c>
      <c r="C291" s="117" t="s">
        <v>374</v>
      </c>
      <c r="D291" s="117" t="s">
        <v>374</v>
      </c>
      <c r="E291" s="117" t="s">
        <v>374</v>
      </c>
      <c r="F291" s="117" t="s">
        <v>374</v>
      </c>
      <c r="G291" s="117" t="s">
        <v>374</v>
      </c>
      <c r="H291" s="117" t="s">
        <v>374</v>
      </c>
      <c r="I291" s="117" t="s">
        <v>374</v>
      </c>
      <c r="J291" s="117" t="s">
        <v>374</v>
      </c>
      <c r="K291" s="26">
        <f>'c-24'!G22</f>
        <v>862</v>
      </c>
      <c r="L291" s="117" t="s">
        <v>374</v>
      </c>
      <c r="M291" s="117" t="s">
        <v>374</v>
      </c>
      <c r="N291" s="118" t="s">
        <v>374</v>
      </c>
      <c r="O291" s="65" t="s">
        <v>374</v>
      </c>
      <c r="P291" s="65" t="s">
        <v>374</v>
      </c>
    </row>
    <row r="292" spans="1:20" ht="15.75" customHeight="1">
      <c r="A292" s="120" t="s">
        <v>770</v>
      </c>
      <c r="B292" s="26">
        <f t="shared" si="14"/>
        <v>1244</v>
      </c>
      <c r="C292" s="117" t="s">
        <v>374</v>
      </c>
      <c r="D292" s="117" t="s">
        <v>374</v>
      </c>
      <c r="E292" s="117" t="s">
        <v>374</v>
      </c>
      <c r="F292" s="117" t="s">
        <v>374</v>
      </c>
      <c r="G292" s="117" t="s">
        <v>374</v>
      </c>
      <c r="H292" s="117" t="s">
        <v>374</v>
      </c>
      <c r="I292" s="117" t="s">
        <v>374</v>
      </c>
      <c r="J292" s="117" t="s">
        <v>374</v>
      </c>
      <c r="K292" s="26">
        <f>'c-24'!G23</f>
        <v>1244</v>
      </c>
      <c r="L292" s="117" t="s">
        <v>374</v>
      </c>
      <c r="M292" s="117" t="s">
        <v>374</v>
      </c>
      <c r="N292" s="118" t="s">
        <v>374</v>
      </c>
      <c r="O292" s="65" t="s">
        <v>374</v>
      </c>
      <c r="P292" s="65" t="s">
        <v>374</v>
      </c>
    </row>
    <row r="293" spans="1:20" ht="15.75" customHeight="1">
      <c r="A293" s="120" t="s">
        <v>175</v>
      </c>
      <c r="B293" s="26">
        <f t="shared" si="14"/>
        <v>439</v>
      </c>
      <c r="C293" s="117" t="s">
        <v>374</v>
      </c>
      <c r="D293" s="117" t="s">
        <v>374</v>
      </c>
      <c r="E293" s="117" t="s">
        <v>374</v>
      </c>
      <c r="F293" s="117" t="s">
        <v>374</v>
      </c>
      <c r="G293" s="117" t="s">
        <v>374</v>
      </c>
      <c r="H293" s="117" t="s">
        <v>374</v>
      </c>
      <c r="I293" s="117" t="s">
        <v>374</v>
      </c>
      <c r="J293" s="117" t="s">
        <v>374</v>
      </c>
      <c r="K293" s="26">
        <f>'c-24'!G84</f>
        <v>439</v>
      </c>
      <c r="L293" s="117" t="s">
        <v>374</v>
      </c>
      <c r="M293" s="117" t="s">
        <v>374</v>
      </c>
      <c r="N293" s="118" t="s">
        <v>374</v>
      </c>
      <c r="O293" s="65" t="s">
        <v>374</v>
      </c>
      <c r="P293" s="65" t="s">
        <v>374</v>
      </c>
    </row>
    <row r="294" spans="1:20" ht="15.75" customHeight="1">
      <c r="A294" s="120" t="s">
        <v>319</v>
      </c>
      <c r="B294" s="26">
        <f t="shared" si="14"/>
        <v>1606</v>
      </c>
      <c r="C294" s="117" t="s">
        <v>374</v>
      </c>
      <c r="D294" s="117" t="s">
        <v>374</v>
      </c>
      <c r="E294" s="117" t="s">
        <v>374</v>
      </c>
      <c r="F294" s="117" t="s">
        <v>374</v>
      </c>
      <c r="G294" s="117" t="s">
        <v>374</v>
      </c>
      <c r="H294" s="117" t="s">
        <v>374</v>
      </c>
      <c r="I294" s="117" t="s">
        <v>374</v>
      </c>
      <c r="J294" s="117" t="s">
        <v>374</v>
      </c>
      <c r="K294" s="26">
        <f>'c-24'!G28</f>
        <v>1606</v>
      </c>
      <c r="L294" s="117" t="s">
        <v>374</v>
      </c>
      <c r="M294" s="117" t="s">
        <v>374</v>
      </c>
      <c r="N294" s="118" t="s">
        <v>374</v>
      </c>
      <c r="O294" s="65" t="s">
        <v>374</v>
      </c>
      <c r="P294" s="65" t="s">
        <v>374</v>
      </c>
    </row>
    <row r="295" spans="1:20" s="91" customFormat="1" ht="15.75" customHeight="1">
      <c r="A295" s="120" t="s">
        <v>771</v>
      </c>
      <c r="B295" s="26">
        <f t="shared" si="14"/>
        <v>163</v>
      </c>
      <c r="C295" s="117" t="s">
        <v>374</v>
      </c>
      <c r="D295" s="117" t="s">
        <v>374</v>
      </c>
      <c r="E295" s="117" t="s">
        <v>374</v>
      </c>
      <c r="F295" s="117" t="s">
        <v>374</v>
      </c>
      <c r="G295" s="117" t="s">
        <v>374</v>
      </c>
      <c r="H295" s="117" t="s">
        <v>374</v>
      </c>
      <c r="I295" s="117" t="s">
        <v>374</v>
      </c>
      <c r="J295" s="117" t="s">
        <v>374</v>
      </c>
      <c r="K295" s="26">
        <f>'c-24'!G42</f>
        <v>163</v>
      </c>
      <c r="L295" s="117" t="s">
        <v>374</v>
      </c>
      <c r="M295" s="117" t="s">
        <v>374</v>
      </c>
      <c r="N295" s="118" t="s">
        <v>374</v>
      </c>
      <c r="O295" s="65" t="s">
        <v>374</v>
      </c>
      <c r="P295" s="65" t="s">
        <v>374</v>
      </c>
      <c r="S295" s="35"/>
      <c r="T295" s="35"/>
    </row>
    <row r="296" spans="1:20" ht="15.75" customHeight="1">
      <c r="A296" s="120" t="s">
        <v>772</v>
      </c>
      <c r="B296" s="26">
        <f t="shared" si="14"/>
        <v>946</v>
      </c>
      <c r="C296" s="117" t="s">
        <v>374</v>
      </c>
      <c r="D296" s="117" t="s">
        <v>374</v>
      </c>
      <c r="E296" s="117" t="s">
        <v>374</v>
      </c>
      <c r="F296" s="117" t="s">
        <v>374</v>
      </c>
      <c r="G296" s="117" t="s">
        <v>374</v>
      </c>
      <c r="H296" s="117" t="s">
        <v>374</v>
      </c>
      <c r="I296" s="117" t="s">
        <v>374</v>
      </c>
      <c r="J296" s="117" t="s">
        <v>374</v>
      </c>
      <c r="K296" s="26">
        <f>'c-24'!G41</f>
        <v>946</v>
      </c>
      <c r="L296" s="117" t="s">
        <v>374</v>
      </c>
      <c r="M296" s="117" t="s">
        <v>374</v>
      </c>
      <c r="N296" s="118" t="s">
        <v>374</v>
      </c>
      <c r="O296" s="65" t="s">
        <v>374</v>
      </c>
      <c r="P296" s="65" t="s">
        <v>374</v>
      </c>
    </row>
    <row r="297" spans="1:20" ht="15.75" customHeight="1">
      <c r="A297" s="120" t="s">
        <v>773</v>
      </c>
      <c r="B297" s="26">
        <f t="shared" si="14"/>
        <v>241</v>
      </c>
      <c r="C297" s="117" t="s">
        <v>374</v>
      </c>
      <c r="D297" s="117" t="s">
        <v>374</v>
      </c>
      <c r="E297" s="117" t="s">
        <v>374</v>
      </c>
      <c r="F297" s="117" t="s">
        <v>374</v>
      </c>
      <c r="G297" s="117" t="s">
        <v>374</v>
      </c>
      <c r="H297" s="117" t="s">
        <v>374</v>
      </c>
      <c r="I297" s="117" t="s">
        <v>374</v>
      </c>
      <c r="J297" s="117" t="s">
        <v>374</v>
      </c>
      <c r="K297" s="26">
        <f>'c-24'!G34</f>
        <v>241</v>
      </c>
      <c r="L297" s="117" t="s">
        <v>374</v>
      </c>
      <c r="M297" s="117" t="s">
        <v>374</v>
      </c>
      <c r="N297" s="118" t="s">
        <v>374</v>
      </c>
      <c r="O297" s="65" t="s">
        <v>374</v>
      </c>
      <c r="P297" s="65" t="s">
        <v>374</v>
      </c>
    </row>
    <row r="298" spans="1:20" ht="15.75" customHeight="1">
      <c r="A298" s="131" t="s">
        <v>774</v>
      </c>
      <c r="B298" s="26">
        <f t="shared" si="14"/>
        <v>3144</v>
      </c>
      <c r="C298" s="117" t="s">
        <v>374</v>
      </c>
      <c r="D298" s="117" t="s">
        <v>374</v>
      </c>
      <c r="E298" s="117" t="s">
        <v>374</v>
      </c>
      <c r="F298" s="117" t="s">
        <v>374</v>
      </c>
      <c r="G298" s="117" t="s">
        <v>374</v>
      </c>
      <c r="H298" s="117" t="s">
        <v>374</v>
      </c>
      <c r="I298" s="117" t="s">
        <v>374</v>
      </c>
      <c r="J298" s="117" t="s">
        <v>374</v>
      </c>
      <c r="K298" s="26">
        <f>'c-24'!G46</f>
        <v>3144</v>
      </c>
      <c r="L298" s="117" t="s">
        <v>374</v>
      </c>
      <c r="M298" s="117" t="s">
        <v>374</v>
      </c>
      <c r="N298" s="118" t="s">
        <v>374</v>
      </c>
      <c r="O298" s="65" t="s">
        <v>374</v>
      </c>
      <c r="P298" s="65" t="s">
        <v>374</v>
      </c>
    </row>
    <row r="299" spans="1:20" ht="15.75" customHeight="1">
      <c r="A299" s="120" t="s">
        <v>775</v>
      </c>
      <c r="B299" s="26">
        <f t="shared" si="14"/>
        <v>2082</v>
      </c>
      <c r="C299" s="117" t="s">
        <v>374</v>
      </c>
      <c r="D299" s="117" t="s">
        <v>374</v>
      </c>
      <c r="E299" s="117" t="s">
        <v>374</v>
      </c>
      <c r="F299" s="117" t="s">
        <v>374</v>
      </c>
      <c r="G299" s="117" t="s">
        <v>374</v>
      </c>
      <c r="H299" s="117" t="s">
        <v>374</v>
      </c>
      <c r="I299" s="117" t="s">
        <v>374</v>
      </c>
      <c r="J299" s="117" t="s">
        <v>374</v>
      </c>
      <c r="K299" s="26">
        <f>'c-24'!G53</f>
        <v>2082</v>
      </c>
      <c r="L299" s="117" t="s">
        <v>374</v>
      </c>
      <c r="M299" s="117" t="s">
        <v>374</v>
      </c>
      <c r="N299" s="118" t="s">
        <v>374</v>
      </c>
      <c r="O299" s="65" t="s">
        <v>374</v>
      </c>
      <c r="P299" s="65" t="s">
        <v>374</v>
      </c>
    </row>
    <row r="300" spans="1:20" ht="15.75" customHeight="1">
      <c r="A300" s="120" t="s">
        <v>776</v>
      </c>
      <c r="B300" s="26">
        <f t="shared" si="14"/>
        <v>597</v>
      </c>
      <c r="C300" s="117" t="s">
        <v>374</v>
      </c>
      <c r="D300" s="117" t="s">
        <v>374</v>
      </c>
      <c r="E300" s="117" t="s">
        <v>374</v>
      </c>
      <c r="F300" s="117" t="s">
        <v>374</v>
      </c>
      <c r="G300" s="117" t="s">
        <v>374</v>
      </c>
      <c r="H300" s="117" t="s">
        <v>374</v>
      </c>
      <c r="I300" s="117" t="s">
        <v>374</v>
      </c>
      <c r="J300" s="117" t="s">
        <v>374</v>
      </c>
      <c r="K300" s="26">
        <f>'c-24'!G76</f>
        <v>597</v>
      </c>
      <c r="L300" s="117" t="s">
        <v>374</v>
      </c>
      <c r="M300" s="117" t="s">
        <v>374</v>
      </c>
      <c r="N300" s="118" t="s">
        <v>374</v>
      </c>
      <c r="O300" s="65" t="s">
        <v>374</v>
      </c>
      <c r="P300" s="65" t="s">
        <v>374</v>
      </c>
    </row>
    <row r="301" spans="1:20" ht="15.75" customHeight="1">
      <c r="A301" s="120" t="s">
        <v>510</v>
      </c>
      <c r="B301" s="26">
        <f t="shared" si="14"/>
        <v>520</v>
      </c>
      <c r="C301" s="117" t="s">
        <v>374</v>
      </c>
      <c r="D301" s="117" t="s">
        <v>374</v>
      </c>
      <c r="E301" s="117" t="s">
        <v>374</v>
      </c>
      <c r="F301" s="117" t="s">
        <v>374</v>
      </c>
      <c r="G301" s="117" t="s">
        <v>374</v>
      </c>
      <c r="H301" s="117" t="s">
        <v>374</v>
      </c>
      <c r="I301" s="117" t="s">
        <v>374</v>
      </c>
      <c r="J301" s="117" t="s">
        <v>374</v>
      </c>
      <c r="K301" s="26">
        <f>'c-24'!G95</f>
        <v>520</v>
      </c>
      <c r="L301" s="117" t="s">
        <v>374</v>
      </c>
      <c r="M301" s="117" t="s">
        <v>374</v>
      </c>
      <c r="N301" s="118" t="s">
        <v>374</v>
      </c>
      <c r="O301" s="65" t="s">
        <v>374</v>
      </c>
      <c r="P301" s="65" t="s">
        <v>374</v>
      </c>
    </row>
    <row r="302" spans="1:20" ht="15.75" customHeight="1">
      <c r="A302" s="113"/>
      <c r="B302" s="26"/>
      <c r="C302" s="51"/>
      <c r="D302" s="51"/>
      <c r="E302" s="51"/>
      <c r="F302" s="51"/>
      <c r="G302" s="51"/>
      <c r="H302" s="51"/>
      <c r="I302" s="51"/>
      <c r="J302" s="51"/>
      <c r="K302" s="26"/>
      <c r="L302" s="117"/>
      <c r="M302" s="51"/>
      <c r="N302" s="21"/>
      <c r="O302" s="65"/>
      <c r="P302" s="65"/>
    </row>
    <row r="303" spans="1:20" ht="15.75" customHeight="1">
      <c r="A303" s="106" t="s">
        <v>229</v>
      </c>
      <c r="B303" s="62">
        <f>SUM(B305:B312)</f>
        <v>64126</v>
      </c>
      <c r="C303" s="97" t="s">
        <v>374</v>
      </c>
      <c r="D303" s="97" t="s">
        <v>374</v>
      </c>
      <c r="E303" s="97" t="s">
        <v>374</v>
      </c>
      <c r="F303" s="97" t="s">
        <v>374</v>
      </c>
      <c r="G303" s="97" t="s">
        <v>374</v>
      </c>
      <c r="H303" s="97" t="s">
        <v>374</v>
      </c>
      <c r="I303" s="97" t="s">
        <v>374</v>
      </c>
      <c r="J303" s="97" t="s">
        <v>374</v>
      </c>
      <c r="K303" s="97" t="s">
        <v>374</v>
      </c>
      <c r="L303" s="62">
        <f>SUM(L305:L313)</f>
        <v>71341</v>
      </c>
      <c r="M303" s="97" t="s">
        <v>374</v>
      </c>
      <c r="N303" s="98" t="s">
        <v>374</v>
      </c>
      <c r="O303" s="112" t="s">
        <v>374</v>
      </c>
      <c r="P303" s="112" t="s">
        <v>374</v>
      </c>
    </row>
    <row r="304" spans="1:20" ht="15.75" customHeight="1">
      <c r="A304" s="120"/>
      <c r="B304" s="64"/>
      <c r="C304" s="51"/>
      <c r="D304" s="51"/>
      <c r="E304" s="51"/>
      <c r="F304" s="51"/>
      <c r="G304" s="51"/>
      <c r="H304" s="51"/>
      <c r="I304" s="51"/>
      <c r="J304" s="51"/>
      <c r="K304" s="51"/>
      <c r="L304" s="64"/>
      <c r="M304" s="117"/>
      <c r="N304" s="118"/>
      <c r="O304" s="65"/>
      <c r="P304" s="65"/>
    </row>
    <row r="305" spans="1:20" ht="15.75" customHeight="1">
      <c r="A305" s="120" t="s">
        <v>777</v>
      </c>
      <c r="B305" s="26">
        <f t="shared" ref="B305:B313" si="15">SUM(C305:P305)</f>
        <v>3692</v>
      </c>
      <c r="C305" s="117" t="s">
        <v>374</v>
      </c>
      <c r="D305" s="117" t="s">
        <v>374</v>
      </c>
      <c r="E305" s="117" t="s">
        <v>374</v>
      </c>
      <c r="F305" s="117" t="s">
        <v>374</v>
      </c>
      <c r="G305" s="117" t="s">
        <v>374</v>
      </c>
      <c r="H305" s="117" t="s">
        <v>374</v>
      </c>
      <c r="I305" s="117" t="s">
        <v>374</v>
      </c>
      <c r="J305" s="117" t="s">
        <v>374</v>
      </c>
      <c r="K305" s="117" t="s">
        <v>374</v>
      </c>
      <c r="L305" s="26">
        <f>'c-15'!H12</f>
        <v>3692</v>
      </c>
      <c r="M305" s="117" t="s">
        <v>374</v>
      </c>
      <c r="N305" s="118" t="s">
        <v>374</v>
      </c>
      <c r="O305" s="65" t="s">
        <v>374</v>
      </c>
      <c r="P305" s="65" t="s">
        <v>374</v>
      </c>
    </row>
    <row r="306" spans="1:20" ht="15.75" customHeight="1">
      <c r="A306" s="120" t="s">
        <v>448</v>
      </c>
      <c r="B306" s="26">
        <f t="shared" si="15"/>
        <v>15690</v>
      </c>
      <c r="C306" s="117" t="s">
        <v>374</v>
      </c>
      <c r="D306" s="117" t="s">
        <v>374</v>
      </c>
      <c r="E306" s="117" t="s">
        <v>374</v>
      </c>
      <c r="F306" s="117" t="s">
        <v>374</v>
      </c>
      <c r="G306" s="117" t="s">
        <v>374</v>
      </c>
      <c r="H306" s="117" t="s">
        <v>374</v>
      </c>
      <c r="I306" s="117" t="s">
        <v>374</v>
      </c>
      <c r="J306" s="117" t="s">
        <v>374</v>
      </c>
      <c r="K306" s="117" t="s">
        <v>374</v>
      </c>
      <c r="L306" s="26">
        <f>'c-15'!H20</f>
        <v>15690</v>
      </c>
      <c r="M306" s="117" t="s">
        <v>374</v>
      </c>
      <c r="N306" s="118" t="s">
        <v>374</v>
      </c>
      <c r="O306" s="65" t="s">
        <v>374</v>
      </c>
      <c r="P306" s="65" t="s">
        <v>374</v>
      </c>
    </row>
    <row r="307" spans="1:20" ht="15.75" customHeight="1">
      <c r="A307" s="113" t="s">
        <v>778</v>
      </c>
      <c r="B307" s="26">
        <f t="shared" si="15"/>
        <v>9160</v>
      </c>
      <c r="C307" s="117" t="s">
        <v>374</v>
      </c>
      <c r="D307" s="117" t="s">
        <v>374</v>
      </c>
      <c r="E307" s="117" t="s">
        <v>374</v>
      </c>
      <c r="F307" s="117" t="s">
        <v>374</v>
      </c>
      <c r="G307" s="117" t="s">
        <v>374</v>
      </c>
      <c r="H307" s="117" t="s">
        <v>374</v>
      </c>
      <c r="I307" s="117" t="s">
        <v>374</v>
      </c>
      <c r="J307" s="117" t="s">
        <v>374</v>
      </c>
      <c r="K307" s="117" t="s">
        <v>374</v>
      </c>
      <c r="L307" s="26">
        <f>'c-15'!H27</f>
        <v>9160</v>
      </c>
      <c r="M307" s="117" t="s">
        <v>374</v>
      </c>
      <c r="N307" s="118" t="s">
        <v>374</v>
      </c>
      <c r="O307" s="65" t="s">
        <v>374</v>
      </c>
      <c r="P307" s="65" t="s">
        <v>374</v>
      </c>
    </row>
    <row r="308" spans="1:20" ht="15.75" customHeight="1">
      <c r="A308" s="113" t="s">
        <v>779</v>
      </c>
      <c r="B308" s="26">
        <f t="shared" si="15"/>
        <v>9408</v>
      </c>
      <c r="C308" s="117" t="s">
        <v>374</v>
      </c>
      <c r="D308" s="117" t="s">
        <v>374</v>
      </c>
      <c r="E308" s="117" t="s">
        <v>374</v>
      </c>
      <c r="F308" s="117" t="s">
        <v>374</v>
      </c>
      <c r="G308" s="117" t="s">
        <v>374</v>
      </c>
      <c r="H308" s="117" t="s">
        <v>374</v>
      </c>
      <c r="I308" s="117" t="s">
        <v>374</v>
      </c>
      <c r="J308" s="117" t="s">
        <v>374</v>
      </c>
      <c r="K308" s="117" t="s">
        <v>374</v>
      </c>
      <c r="L308" s="26">
        <f>'c-15'!H32</f>
        <v>9408</v>
      </c>
      <c r="M308" s="117" t="s">
        <v>374</v>
      </c>
      <c r="N308" s="118" t="s">
        <v>374</v>
      </c>
      <c r="O308" s="65" t="s">
        <v>374</v>
      </c>
      <c r="P308" s="65" t="s">
        <v>374</v>
      </c>
    </row>
    <row r="309" spans="1:20" ht="15.75" customHeight="1">
      <c r="A309" s="113" t="s">
        <v>780</v>
      </c>
      <c r="B309" s="26">
        <f t="shared" si="15"/>
        <v>9199</v>
      </c>
      <c r="C309" s="117" t="s">
        <v>374</v>
      </c>
      <c r="D309" s="117" t="s">
        <v>374</v>
      </c>
      <c r="E309" s="117" t="s">
        <v>374</v>
      </c>
      <c r="F309" s="117" t="s">
        <v>374</v>
      </c>
      <c r="G309" s="117" t="s">
        <v>374</v>
      </c>
      <c r="H309" s="117" t="s">
        <v>374</v>
      </c>
      <c r="I309" s="117" t="s">
        <v>374</v>
      </c>
      <c r="J309" s="117" t="s">
        <v>374</v>
      </c>
      <c r="K309" s="117" t="s">
        <v>374</v>
      </c>
      <c r="L309" s="26">
        <f>'c-15'!H55</f>
        <v>9199</v>
      </c>
      <c r="M309" s="117" t="s">
        <v>374</v>
      </c>
      <c r="N309" s="118" t="s">
        <v>374</v>
      </c>
      <c r="O309" s="65" t="s">
        <v>374</v>
      </c>
      <c r="P309" s="65" t="s">
        <v>374</v>
      </c>
    </row>
    <row r="310" spans="1:20" ht="15.75" customHeight="1">
      <c r="A310" s="113" t="s">
        <v>781</v>
      </c>
      <c r="B310" s="26">
        <f t="shared" si="15"/>
        <v>7136</v>
      </c>
      <c r="C310" s="117" t="s">
        <v>374</v>
      </c>
      <c r="D310" s="117" t="s">
        <v>374</v>
      </c>
      <c r="E310" s="117" t="s">
        <v>374</v>
      </c>
      <c r="F310" s="117" t="s">
        <v>374</v>
      </c>
      <c r="G310" s="117" t="s">
        <v>374</v>
      </c>
      <c r="H310" s="117" t="s">
        <v>374</v>
      </c>
      <c r="I310" s="117" t="s">
        <v>374</v>
      </c>
      <c r="J310" s="117" t="s">
        <v>374</v>
      </c>
      <c r="K310" s="117" t="s">
        <v>374</v>
      </c>
      <c r="L310" s="26">
        <f>'c-15'!H64</f>
        <v>7136</v>
      </c>
      <c r="M310" s="117" t="s">
        <v>374</v>
      </c>
      <c r="N310" s="118" t="s">
        <v>374</v>
      </c>
      <c r="O310" s="65" t="s">
        <v>374</v>
      </c>
      <c r="P310" s="65" t="s">
        <v>374</v>
      </c>
    </row>
    <row r="311" spans="1:20" ht="15.75" customHeight="1">
      <c r="A311" s="120" t="s">
        <v>558</v>
      </c>
      <c r="B311" s="26">
        <f t="shared" si="15"/>
        <v>4867</v>
      </c>
      <c r="C311" s="117" t="s">
        <v>374</v>
      </c>
      <c r="D311" s="117" t="s">
        <v>374</v>
      </c>
      <c r="E311" s="117" t="s">
        <v>374</v>
      </c>
      <c r="F311" s="117" t="s">
        <v>374</v>
      </c>
      <c r="G311" s="117" t="s">
        <v>374</v>
      </c>
      <c r="H311" s="117" t="s">
        <v>374</v>
      </c>
      <c r="I311" s="117" t="s">
        <v>374</v>
      </c>
      <c r="J311" s="117" t="s">
        <v>374</v>
      </c>
      <c r="K311" s="64" t="s">
        <v>374</v>
      </c>
      <c r="L311" s="24">
        <f>'c-15'!H88</f>
        <v>4867</v>
      </c>
      <c r="M311" s="117" t="s">
        <v>374</v>
      </c>
      <c r="N311" s="118" t="s">
        <v>374</v>
      </c>
      <c r="O311" s="65" t="s">
        <v>374</v>
      </c>
      <c r="P311" s="65" t="s">
        <v>374</v>
      </c>
    </row>
    <row r="312" spans="1:20" ht="15.75" customHeight="1">
      <c r="A312" s="113" t="s">
        <v>782</v>
      </c>
      <c r="B312" s="26">
        <f t="shared" si="15"/>
        <v>4974</v>
      </c>
      <c r="C312" s="117" t="s">
        <v>374</v>
      </c>
      <c r="D312" s="117" t="s">
        <v>374</v>
      </c>
      <c r="E312" s="117" t="s">
        <v>374</v>
      </c>
      <c r="F312" s="117" t="s">
        <v>374</v>
      </c>
      <c r="G312" s="117" t="s">
        <v>374</v>
      </c>
      <c r="H312" s="117" t="s">
        <v>374</v>
      </c>
      <c r="I312" s="117" t="s">
        <v>374</v>
      </c>
      <c r="J312" s="117" t="s">
        <v>374</v>
      </c>
      <c r="K312" s="117" t="s">
        <v>374</v>
      </c>
      <c r="L312" s="26">
        <f>'c-15'!H109</f>
        <v>4974</v>
      </c>
      <c r="M312" s="117" t="s">
        <v>374</v>
      </c>
      <c r="N312" s="118" t="s">
        <v>374</v>
      </c>
      <c r="O312" s="65" t="s">
        <v>374</v>
      </c>
      <c r="P312" s="65" t="s">
        <v>374</v>
      </c>
    </row>
    <row r="313" spans="1:20" ht="15.75" customHeight="1">
      <c r="A313" s="113" t="s">
        <v>1033</v>
      </c>
      <c r="B313" s="26">
        <f t="shared" si="15"/>
        <v>7215</v>
      </c>
      <c r="C313" s="117" t="s">
        <v>374</v>
      </c>
      <c r="D313" s="117" t="s">
        <v>374</v>
      </c>
      <c r="E313" s="117" t="s">
        <v>374</v>
      </c>
      <c r="F313" s="117" t="s">
        <v>374</v>
      </c>
      <c r="G313" s="117" t="s">
        <v>374</v>
      </c>
      <c r="H313" s="117" t="s">
        <v>374</v>
      </c>
      <c r="I313" s="117" t="s">
        <v>374</v>
      </c>
      <c r="J313" s="117" t="s">
        <v>374</v>
      </c>
      <c r="K313" s="117" t="s">
        <v>374</v>
      </c>
      <c r="L313" s="26">
        <f>'c-15'!H114</f>
        <v>7215</v>
      </c>
      <c r="M313" s="117" t="s">
        <v>374</v>
      </c>
      <c r="N313" s="118" t="s">
        <v>374</v>
      </c>
      <c r="O313" s="416" t="s">
        <v>374</v>
      </c>
      <c r="P313" s="65" t="s">
        <v>374</v>
      </c>
    </row>
    <row r="314" spans="1:20" s="91" customFormat="1" ht="15.6">
      <c r="A314" s="113"/>
      <c r="B314" s="64"/>
      <c r="C314" s="117"/>
      <c r="D314" s="117"/>
      <c r="E314" s="117"/>
      <c r="F314" s="117"/>
      <c r="G314" s="117"/>
      <c r="H314" s="117"/>
      <c r="I314" s="117"/>
      <c r="J314" s="117"/>
      <c r="K314" s="117"/>
      <c r="L314" s="64"/>
      <c r="M314" s="117"/>
      <c r="N314" s="118"/>
      <c r="O314" s="65"/>
      <c r="P314" s="65"/>
      <c r="S314" s="35"/>
      <c r="T314" s="35"/>
    </row>
    <row r="315" spans="1:20" ht="15.75" customHeight="1">
      <c r="A315" s="106" t="s">
        <v>783</v>
      </c>
      <c r="B315" s="62">
        <f>SUM(B317:B322)</f>
        <v>21340</v>
      </c>
      <c r="C315" s="97" t="s">
        <v>374</v>
      </c>
      <c r="D315" s="97" t="s">
        <v>374</v>
      </c>
      <c r="E315" s="97" t="s">
        <v>374</v>
      </c>
      <c r="F315" s="97" t="s">
        <v>374</v>
      </c>
      <c r="G315" s="97" t="s">
        <v>374</v>
      </c>
      <c r="H315" s="97" t="s">
        <v>374</v>
      </c>
      <c r="I315" s="97" t="s">
        <v>374</v>
      </c>
      <c r="J315" s="97" t="s">
        <v>374</v>
      </c>
      <c r="K315" s="97" t="s">
        <v>374</v>
      </c>
      <c r="L315" s="62">
        <f>SUM(L317:L322)</f>
        <v>16984</v>
      </c>
      <c r="M315" s="97" t="s">
        <v>374</v>
      </c>
      <c r="N315" s="98">
        <f>SUM(N317:N322)</f>
        <v>4356</v>
      </c>
      <c r="O315" s="112" t="s">
        <v>374</v>
      </c>
      <c r="P315" s="112" t="s">
        <v>374</v>
      </c>
    </row>
    <row r="316" spans="1:20" ht="15.75" customHeight="1">
      <c r="A316" s="120"/>
      <c r="B316" s="64"/>
      <c r="C316" s="117"/>
      <c r="D316" s="117"/>
      <c r="E316" s="117"/>
      <c r="F316" s="117"/>
      <c r="G316" s="117"/>
      <c r="H316" s="117"/>
      <c r="I316" s="117"/>
      <c r="J316" s="117"/>
      <c r="K316" s="117"/>
      <c r="L316" s="64"/>
      <c r="M316" s="117"/>
      <c r="N316" s="118"/>
      <c r="O316" s="65"/>
      <c r="P316" s="65"/>
    </row>
    <row r="317" spans="1:20" ht="15.75" customHeight="1">
      <c r="A317" s="120" t="s">
        <v>784</v>
      </c>
      <c r="B317" s="26">
        <f t="shared" ref="B317:B322" si="16">SUM(C317:P317)</f>
        <v>4263</v>
      </c>
      <c r="C317" s="117" t="s">
        <v>374</v>
      </c>
      <c r="D317" s="117" t="s">
        <v>374</v>
      </c>
      <c r="E317" s="117" t="s">
        <v>374</v>
      </c>
      <c r="F317" s="117" t="s">
        <v>374</v>
      </c>
      <c r="G317" s="117" t="s">
        <v>374</v>
      </c>
      <c r="H317" s="117" t="s">
        <v>374</v>
      </c>
      <c r="I317" s="117" t="s">
        <v>374</v>
      </c>
      <c r="J317" s="117" t="s">
        <v>374</v>
      </c>
      <c r="K317" s="117" t="s">
        <v>374</v>
      </c>
      <c r="L317" s="24">
        <f>'c-15'!H23</f>
        <v>3417</v>
      </c>
      <c r="M317" s="117" t="s">
        <v>374</v>
      </c>
      <c r="N317" s="24">
        <f>'c-16'!G24</f>
        <v>846</v>
      </c>
      <c r="O317" s="117" t="s">
        <v>374</v>
      </c>
      <c r="P317" s="118" t="s">
        <v>374</v>
      </c>
    </row>
    <row r="318" spans="1:20" ht="15.75" customHeight="1">
      <c r="A318" s="120" t="s">
        <v>785</v>
      </c>
      <c r="B318" s="26">
        <f t="shared" si="16"/>
        <v>2253</v>
      </c>
      <c r="C318" s="117" t="s">
        <v>374</v>
      </c>
      <c r="D318" s="117" t="s">
        <v>374</v>
      </c>
      <c r="E318" s="117" t="s">
        <v>374</v>
      </c>
      <c r="F318" s="117" t="s">
        <v>374</v>
      </c>
      <c r="G318" s="117" t="s">
        <v>374</v>
      </c>
      <c r="H318" s="117" t="s">
        <v>374</v>
      </c>
      <c r="I318" s="117" t="s">
        <v>374</v>
      </c>
      <c r="J318" s="117" t="s">
        <v>374</v>
      </c>
      <c r="K318" s="117" t="s">
        <v>374</v>
      </c>
      <c r="L318" s="24">
        <f>'c-15'!H13</f>
        <v>1705</v>
      </c>
      <c r="M318" s="117" t="s">
        <v>374</v>
      </c>
      <c r="N318" s="24">
        <f>'c-16'!G14</f>
        <v>548</v>
      </c>
      <c r="O318" s="65" t="s">
        <v>374</v>
      </c>
      <c r="P318" s="65" t="s">
        <v>374</v>
      </c>
    </row>
    <row r="319" spans="1:20" ht="15.75" customHeight="1">
      <c r="A319" s="120" t="s">
        <v>786</v>
      </c>
      <c r="B319" s="26">
        <f t="shared" si="16"/>
        <v>4255</v>
      </c>
      <c r="C319" s="117" t="s">
        <v>374</v>
      </c>
      <c r="D319" s="117" t="s">
        <v>374</v>
      </c>
      <c r="E319" s="117" t="s">
        <v>374</v>
      </c>
      <c r="F319" s="117" t="s">
        <v>374</v>
      </c>
      <c r="G319" s="117" t="s">
        <v>374</v>
      </c>
      <c r="H319" s="117" t="s">
        <v>374</v>
      </c>
      <c r="I319" s="117" t="s">
        <v>374</v>
      </c>
      <c r="J319" s="117" t="s">
        <v>374</v>
      </c>
      <c r="K319" s="117" t="s">
        <v>374</v>
      </c>
      <c r="L319" s="24">
        <f>'c-15'!H56</f>
        <v>3384</v>
      </c>
      <c r="M319" s="117" t="s">
        <v>374</v>
      </c>
      <c r="N319" s="24">
        <f>'c-16'!G55</f>
        <v>871</v>
      </c>
      <c r="O319" s="65" t="s">
        <v>374</v>
      </c>
      <c r="P319" s="65" t="s">
        <v>374</v>
      </c>
    </row>
    <row r="320" spans="1:20" ht="15.75" customHeight="1">
      <c r="A320" s="120" t="s">
        <v>516</v>
      </c>
      <c r="B320" s="26">
        <f t="shared" si="16"/>
        <v>3228</v>
      </c>
      <c r="C320" s="117" t="s">
        <v>374</v>
      </c>
      <c r="D320" s="117" t="s">
        <v>374</v>
      </c>
      <c r="E320" s="117" t="s">
        <v>374</v>
      </c>
      <c r="F320" s="117" t="s">
        <v>374</v>
      </c>
      <c r="G320" s="117" t="s">
        <v>374</v>
      </c>
      <c r="H320" s="117" t="s">
        <v>374</v>
      </c>
      <c r="I320" s="117" t="s">
        <v>374</v>
      </c>
      <c r="J320" s="117" t="s">
        <v>374</v>
      </c>
      <c r="K320" s="117" t="s">
        <v>374</v>
      </c>
      <c r="L320" s="24">
        <f>'c-15'!H67</f>
        <v>2594</v>
      </c>
      <c r="M320" s="117" t="s">
        <v>374</v>
      </c>
      <c r="N320" s="24">
        <f>'c-16'!G63</f>
        <v>634</v>
      </c>
      <c r="O320" s="65" t="s">
        <v>374</v>
      </c>
      <c r="P320" s="65" t="s">
        <v>374</v>
      </c>
    </row>
    <row r="321" spans="1:20" ht="15.75" customHeight="1">
      <c r="A321" s="120" t="s">
        <v>517</v>
      </c>
      <c r="B321" s="26">
        <f t="shared" si="16"/>
        <v>3232</v>
      </c>
      <c r="C321" s="117" t="s">
        <v>374</v>
      </c>
      <c r="D321" s="117" t="s">
        <v>374</v>
      </c>
      <c r="E321" s="117" t="s">
        <v>374</v>
      </c>
      <c r="F321" s="117" t="s">
        <v>374</v>
      </c>
      <c r="G321" s="117" t="s">
        <v>374</v>
      </c>
      <c r="H321" s="117" t="s">
        <v>374</v>
      </c>
      <c r="I321" s="117" t="s">
        <v>374</v>
      </c>
      <c r="J321" s="117" t="s">
        <v>374</v>
      </c>
      <c r="K321" s="117" t="s">
        <v>374</v>
      </c>
      <c r="L321" s="24">
        <f>'c-15'!H68</f>
        <v>2588</v>
      </c>
      <c r="M321" s="117" t="s">
        <v>374</v>
      </c>
      <c r="N321" s="24">
        <f>'c-16'!G67</f>
        <v>644</v>
      </c>
      <c r="O321" s="65" t="s">
        <v>374</v>
      </c>
      <c r="P321" s="65" t="s">
        <v>374</v>
      </c>
    </row>
    <row r="322" spans="1:20" ht="15.75" customHeight="1">
      <c r="A322" s="120" t="s">
        <v>518</v>
      </c>
      <c r="B322" s="26">
        <f t="shared" si="16"/>
        <v>4109</v>
      </c>
      <c r="C322" s="117" t="s">
        <v>374</v>
      </c>
      <c r="D322" s="117" t="s">
        <v>374</v>
      </c>
      <c r="E322" s="117" t="s">
        <v>374</v>
      </c>
      <c r="F322" s="117" t="s">
        <v>374</v>
      </c>
      <c r="G322" s="117" t="s">
        <v>374</v>
      </c>
      <c r="H322" s="117" t="s">
        <v>374</v>
      </c>
      <c r="I322" s="117" t="s">
        <v>374</v>
      </c>
      <c r="J322" s="117" t="s">
        <v>374</v>
      </c>
      <c r="K322" s="117" t="s">
        <v>374</v>
      </c>
      <c r="L322" s="24">
        <f>'c-15'!H116</f>
        <v>3296</v>
      </c>
      <c r="M322" s="117" t="s">
        <v>374</v>
      </c>
      <c r="N322" s="24">
        <f>'c-16'!G113</f>
        <v>813</v>
      </c>
      <c r="O322" s="65" t="s">
        <v>374</v>
      </c>
      <c r="P322" s="65" t="s">
        <v>374</v>
      </c>
    </row>
    <row r="323" spans="1:20" ht="15.75" customHeight="1">
      <c r="A323" s="113"/>
      <c r="B323" s="64"/>
      <c r="C323" s="117"/>
      <c r="D323" s="117"/>
      <c r="E323" s="117"/>
      <c r="F323" s="117"/>
      <c r="G323" s="117"/>
      <c r="H323" s="117"/>
      <c r="I323" s="117"/>
      <c r="J323" s="117"/>
      <c r="K323" s="117"/>
      <c r="L323" s="117"/>
      <c r="M323" s="117"/>
      <c r="N323" s="118"/>
      <c r="O323" s="65"/>
      <c r="P323" s="65"/>
      <c r="S323" s="91"/>
      <c r="T323" s="91"/>
    </row>
    <row r="324" spans="1:20" ht="15.75" customHeight="1">
      <c r="A324" s="106" t="s">
        <v>787</v>
      </c>
      <c r="B324" s="62">
        <f>SUM(B326:B330)</f>
        <v>39403</v>
      </c>
      <c r="C324" s="62">
        <f>SUM(C326:C330)</f>
        <v>1625</v>
      </c>
      <c r="D324" s="62">
        <f>SUM(D326:D330)</f>
        <v>35698</v>
      </c>
      <c r="E324" s="97" t="s">
        <v>374</v>
      </c>
      <c r="F324" s="97" t="s">
        <v>374</v>
      </c>
      <c r="G324" s="97" t="s">
        <v>374</v>
      </c>
      <c r="H324" s="62">
        <f>SUM(H326:H330)</f>
        <v>2080</v>
      </c>
      <c r="I324" s="97" t="s">
        <v>374</v>
      </c>
      <c r="J324" s="97" t="s">
        <v>374</v>
      </c>
      <c r="K324" s="97" t="s">
        <v>374</v>
      </c>
      <c r="L324" s="97" t="s">
        <v>374</v>
      </c>
      <c r="M324" s="97" t="s">
        <v>374</v>
      </c>
      <c r="N324" s="98" t="s">
        <v>374</v>
      </c>
      <c r="O324" s="112" t="s">
        <v>374</v>
      </c>
      <c r="P324" s="112" t="s">
        <v>374</v>
      </c>
      <c r="S324" s="91"/>
      <c r="T324" s="91"/>
    </row>
    <row r="325" spans="1:20" ht="15.75" customHeight="1">
      <c r="A325" s="120"/>
      <c r="B325" s="64"/>
      <c r="C325" s="64"/>
      <c r="D325" s="117"/>
      <c r="E325" s="51"/>
      <c r="F325" s="51"/>
      <c r="G325" s="51"/>
      <c r="H325" s="117"/>
      <c r="I325" s="51"/>
      <c r="J325" s="51"/>
      <c r="K325" s="51"/>
      <c r="L325" s="117"/>
      <c r="M325" s="51"/>
      <c r="N325" s="21"/>
      <c r="O325" s="65"/>
      <c r="P325" s="65"/>
      <c r="S325" s="91"/>
      <c r="T325" s="91"/>
    </row>
    <row r="326" spans="1:20" ht="15.75" customHeight="1">
      <c r="A326" s="120" t="s">
        <v>892</v>
      </c>
      <c r="B326" s="26">
        <f>SUM(C326:P326)</f>
        <v>1011</v>
      </c>
      <c r="C326" s="24">
        <f>'c-10'!G34</f>
        <v>483</v>
      </c>
      <c r="D326" s="121" t="s">
        <v>374</v>
      </c>
      <c r="E326" s="117" t="s">
        <v>374</v>
      </c>
      <c r="F326" s="117" t="s">
        <v>374</v>
      </c>
      <c r="G326" s="117" t="s">
        <v>374</v>
      </c>
      <c r="H326" s="24">
        <f>'c-17'!G29</f>
        <v>528</v>
      </c>
      <c r="I326" s="117" t="s">
        <v>374</v>
      </c>
      <c r="J326" s="117" t="s">
        <v>374</v>
      </c>
      <c r="K326" s="117" t="s">
        <v>374</v>
      </c>
      <c r="L326" s="117" t="s">
        <v>374</v>
      </c>
      <c r="M326" s="117" t="s">
        <v>374</v>
      </c>
      <c r="N326" s="118" t="s">
        <v>374</v>
      </c>
      <c r="O326" s="65" t="s">
        <v>374</v>
      </c>
      <c r="P326" s="65" t="s">
        <v>374</v>
      </c>
      <c r="S326" s="91"/>
      <c r="T326" s="91"/>
    </row>
    <row r="327" spans="1:20" ht="15.75" customHeight="1">
      <c r="A327" s="120" t="s">
        <v>788</v>
      </c>
      <c r="B327" s="26">
        <f>SUM(C327:P327)</f>
        <v>15225</v>
      </c>
      <c r="C327" s="24">
        <f>'c-10'!G123</f>
        <v>415</v>
      </c>
      <c r="D327" s="121">
        <f>'c-11'!G46</f>
        <v>14413</v>
      </c>
      <c r="E327" s="117" t="s">
        <v>374</v>
      </c>
      <c r="F327" s="117" t="s">
        <v>374</v>
      </c>
      <c r="G327" s="117" t="s">
        <v>374</v>
      </c>
      <c r="H327" s="24">
        <f>'c-17'!G118</f>
        <v>397</v>
      </c>
      <c r="I327" s="117" t="s">
        <v>374</v>
      </c>
      <c r="J327" s="117" t="s">
        <v>374</v>
      </c>
      <c r="K327" s="117" t="s">
        <v>374</v>
      </c>
      <c r="L327" s="117" t="s">
        <v>374</v>
      </c>
      <c r="M327" s="117" t="s">
        <v>374</v>
      </c>
      <c r="N327" s="118" t="s">
        <v>374</v>
      </c>
      <c r="O327" s="65" t="s">
        <v>374</v>
      </c>
      <c r="P327" s="65" t="s">
        <v>374</v>
      </c>
    </row>
    <row r="328" spans="1:20" ht="15.75" customHeight="1">
      <c r="A328" s="120" t="s">
        <v>320</v>
      </c>
      <c r="B328" s="26">
        <f>SUM(C328:P328)</f>
        <v>5180</v>
      </c>
      <c r="C328" s="24">
        <f>'c-10'!G52</f>
        <v>316</v>
      </c>
      <c r="D328" s="121">
        <f>'c-11'!G24</f>
        <v>4410</v>
      </c>
      <c r="E328" s="117" t="s">
        <v>374</v>
      </c>
      <c r="F328" s="117" t="s">
        <v>374</v>
      </c>
      <c r="G328" s="117" t="s">
        <v>374</v>
      </c>
      <c r="H328" s="24">
        <f>'c-17'!G46</f>
        <v>454</v>
      </c>
      <c r="I328" s="117" t="s">
        <v>374</v>
      </c>
      <c r="J328" s="117" t="s">
        <v>374</v>
      </c>
      <c r="K328" s="117" t="s">
        <v>374</v>
      </c>
      <c r="L328" s="117" t="s">
        <v>374</v>
      </c>
      <c r="M328" s="117" t="s">
        <v>374</v>
      </c>
      <c r="N328" s="118" t="s">
        <v>374</v>
      </c>
      <c r="O328" s="65" t="s">
        <v>374</v>
      </c>
      <c r="P328" s="65" t="s">
        <v>374</v>
      </c>
    </row>
    <row r="329" spans="1:20" ht="15.75" customHeight="1">
      <c r="A329" s="120" t="s">
        <v>789</v>
      </c>
      <c r="B329" s="26">
        <f>SUM(C329:P329)</f>
        <v>9984</v>
      </c>
      <c r="C329" s="24">
        <f>'c-10'!G61</f>
        <v>190</v>
      </c>
      <c r="D329" s="121">
        <f>'c-11'!G27</f>
        <v>9666</v>
      </c>
      <c r="E329" s="117" t="s">
        <v>374</v>
      </c>
      <c r="F329" s="117" t="s">
        <v>374</v>
      </c>
      <c r="G329" s="117" t="s">
        <v>374</v>
      </c>
      <c r="H329" s="24">
        <f>'c-17'!G56</f>
        <v>128</v>
      </c>
      <c r="I329" s="117" t="s">
        <v>374</v>
      </c>
      <c r="J329" s="117" t="s">
        <v>374</v>
      </c>
      <c r="K329" s="117" t="s">
        <v>374</v>
      </c>
      <c r="L329" s="117" t="s">
        <v>374</v>
      </c>
      <c r="M329" s="117" t="s">
        <v>374</v>
      </c>
      <c r="N329" s="118" t="s">
        <v>374</v>
      </c>
      <c r="O329" s="65" t="s">
        <v>374</v>
      </c>
      <c r="P329" s="65" t="s">
        <v>374</v>
      </c>
    </row>
    <row r="330" spans="1:20" ht="15.75" customHeight="1">
      <c r="A330" s="120" t="s">
        <v>790</v>
      </c>
      <c r="B330" s="26">
        <f>SUM(C330:P330)</f>
        <v>8003</v>
      </c>
      <c r="C330" s="24">
        <f>'c-10'!G144</f>
        <v>221</v>
      </c>
      <c r="D330" s="121">
        <f>'c-11'!G55</f>
        <v>7209</v>
      </c>
      <c r="E330" s="117" t="s">
        <v>374</v>
      </c>
      <c r="F330" s="117" t="s">
        <v>374</v>
      </c>
      <c r="G330" s="117" t="s">
        <v>374</v>
      </c>
      <c r="H330" s="24">
        <f>'c-17'!G139</f>
        <v>573</v>
      </c>
      <c r="I330" s="117" t="s">
        <v>374</v>
      </c>
      <c r="J330" s="117" t="s">
        <v>374</v>
      </c>
      <c r="K330" s="117" t="s">
        <v>374</v>
      </c>
      <c r="L330" s="117" t="s">
        <v>374</v>
      </c>
      <c r="M330" s="117" t="s">
        <v>374</v>
      </c>
      <c r="N330" s="118" t="s">
        <v>374</v>
      </c>
      <c r="O330" s="65" t="s">
        <v>374</v>
      </c>
      <c r="P330" s="65" t="s">
        <v>374</v>
      </c>
    </row>
    <row r="331" spans="1:20" ht="15.75" customHeight="1">
      <c r="A331" s="120"/>
      <c r="B331" s="64"/>
      <c r="C331" s="64"/>
      <c r="D331" s="117"/>
      <c r="E331" s="117"/>
      <c r="F331" s="117"/>
      <c r="G331" s="117"/>
      <c r="H331" s="117"/>
      <c r="I331" s="117"/>
      <c r="J331" s="117"/>
      <c r="K331" s="117"/>
      <c r="L331" s="117"/>
      <c r="M331" s="117"/>
      <c r="N331" s="118"/>
      <c r="O331" s="65"/>
      <c r="P331" s="65"/>
    </row>
    <row r="332" spans="1:20" ht="15.75" customHeight="1">
      <c r="A332" s="106" t="s">
        <v>791</v>
      </c>
      <c r="B332" s="62">
        <f>SUM(B334:B350,B359:B402)</f>
        <v>108370</v>
      </c>
      <c r="C332" s="62">
        <f>SUM(C334:C350,C359:C402)</f>
        <v>6770</v>
      </c>
      <c r="D332" s="62">
        <f>SUM(D334:D350,D359:D402)</f>
        <v>11548</v>
      </c>
      <c r="E332" s="97" t="s">
        <v>374</v>
      </c>
      <c r="F332" s="97" t="s">
        <v>374</v>
      </c>
      <c r="G332" s="97" t="s">
        <v>374</v>
      </c>
      <c r="H332" s="62">
        <f>SUM(H334:H350,H359:H402)</f>
        <v>5836</v>
      </c>
      <c r="I332" s="97" t="s">
        <v>374</v>
      </c>
      <c r="J332" s="62">
        <f>SUM(J334:J350,J359:J402)</f>
        <v>8190</v>
      </c>
      <c r="K332" s="97">
        <f>SUM(K334:K350,K359:K402)</f>
        <v>4932</v>
      </c>
      <c r="L332" s="62">
        <f>SUM(L334:L350,L359:L402)</f>
        <v>60623</v>
      </c>
      <c r="M332" s="98" t="s">
        <v>374</v>
      </c>
      <c r="N332" s="62">
        <f>SUM(N334:N350,N359:N402)</f>
        <v>10471</v>
      </c>
      <c r="O332" s="112" t="s">
        <v>374</v>
      </c>
      <c r="P332" s="112" t="s">
        <v>374</v>
      </c>
    </row>
    <row r="333" spans="1:20" ht="15.75" customHeight="1">
      <c r="A333" s="120"/>
      <c r="B333" s="64"/>
      <c r="C333" s="117"/>
      <c r="D333" s="117"/>
      <c r="E333" s="51"/>
      <c r="F333" s="51"/>
      <c r="G333" s="117"/>
      <c r="H333" s="118"/>
      <c r="I333" s="26"/>
      <c r="J333" s="117"/>
      <c r="K333" s="117"/>
      <c r="L333" s="117"/>
      <c r="M333" s="51"/>
      <c r="N333" s="118"/>
      <c r="O333" s="65"/>
      <c r="P333" s="65"/>
    </row>
    <row r="334" spans="1:20" ht="15.75" customHeight="1">
      <c r="A334" s="120" t="s">
        <v>893</v>
      </c>
      <c r="B334" s="26">
        <f t="shared" ref="B334:B350" si="17">SUM(C334:P334)</f>
        <v>2364</v>
      </c>
      <c r="C334" s="24">
        <f>'c-10'!G35</f>
        <v>115</v>
      </c>
      <c r="D334" s="121" t="s">
        <v>374</v>
      </c>
      <c r="E334" s="117" t="s">
        <v>374</v>
      </c>
      <c r="F334" s="117" t="s">
        <v>374</v>
      </c>
      <c r="G334" s="117" t="s">
        <v>374</v>
      </c>
      <c r="H334" s="65">
        <f>'c-17'!G30</f>
        <v>71</v>
      </c>
      <c r="I334" s="64" t="s">
        <v>374</v>
      </c>
      <c r="J334" s="26">
        <f>'c-23'!G25</f>
        <v>177</v>
      </c>
      <c r="K334" s="117" t="s">
        <v>374</v>
      </c>
      <c r="L334" s="26">
        <f>'c-15'!H24</f>
        <v>2001</v>
      </c>
      <c r="M334" s="117" t="s">
        <v>374</v>
      </c>
      <c r="N334" s="118" t="s">
        <v>374</v>
      </c>
      <c r="O334" s="65" t="s">
        <v>374</v>
      </c>
      <c r="P334" s="65" t="s">
        <v>374</v>
      </c>
    </row>
    <row r="335" spans="1:20" ht="15.75" customHeight="1">
      <c r="A335" s="120" t="s">
        <v>792</v>
      </c>
      <c r="B335" s="26">
        <f t="shared" si="17"/>
        <v>1340</v>
      </c>
      <c r="C335" s="24">
        <f>'c-10'!G36</f>
        <v>70</v>
      </c>
      <c r="D335" s="121" t="s">
        <v>374</v>
      </c>
      <c r="E335" s="117" t="s">
        <v>374</v>
      </c>
      <c r="F335" s="117" t="s">
        <v>374</v>
      </c>
      <c r="G335" s="117" t="s">
        <v>374</v>
      </c>
      <c r="H335" s="65">
        <f>'c-17'!G31</f>
        <v>36</v>
      </c>
      <c r="I335" s="64" t="s">
        <v>374</v>
      </c>
      <c r="J335" s="26">
        <f>'c-23'!G26</f>
        <v>111</v>
      </c>
      <c r="K335" s="117" t="s">
        <v>374</v>
      </c>
      <c r="L335" s="26">
        <f>'c-15'!H25</f>
        <v>1123</v>
      </c>
      <c r="M335" s="117" t="s">
        <v>374</v>
      </c>
      <c r="N335" s="118" t="s">
        <v>374</v>
      </c>
      <c r="O335" s="65" t="s">
        <v>374</v>
      </c>
      <c r="P335" s="65" t="s">
        <v>374</v>
      </c>
    </row>
    <row r="336" spans="1:20" ht="15.75" customHeight="1">
      <c r="A336" s="120" t="s">
        <v>793</v>
      </c>
      <c r="B336" s="26">
        <f t="shared" si="17"/>
        <v>3645</v>
      </c>
      <c r="C336" s="24">
        <f>'c-10'!G37</f>
        <v>183</v>
      </c>
      <c r="D336" s="121" t="s">
        <v>374</v>
      </c>
      <c r="E336" s="117" t="s">
        <v>374</v>
      </c>
      <c r="F336" s="117" t="s">
        <v>374</v>
      </c>
      <c r="G336" s="117" t="s">
        <v>374</v>
      </c>
      <c r="H336" s="65">
        <f>'c-17'!G32</f>
        <v>103</v>
      </c>
      <c r="I336" s="64" t="s">
        <v>374</v>
      </c>
      <c r="J336" s="26">
        <f>'c-23'!G27</f>
        <v>155</v>
      </c>
      <c r="K336" s="117" t="s">
        <v>374</v>
      </c>
      <c r="L336" s="26">
        <f>'c-15'!H26</f>
        <v>3204</v>
      </c>
      <c r="M336" s="117" t="s">
        <v>374</v>
      </c>
      <c r="N336" s="118" t="s">
        <v>374</v>
      </c>
      <c r="O336" s="65" t="s">
        <v>374</v>
      </c>
      <c r="P336" s="65" t="s">
        <v>374</v>
      </c>
    </row>
    <row r="337" spans="1:16" ht="15.75" customHeight="1">
      <c r="A337" s="120" t="s">
        <v>794</v>
      </c>
      <c r="B337" s="26">
        <f t="shared" si="17"/>
        <v>3840</v>
      </c>
      <c r="C337" s="24">
        <f>'c-10'!G38</f>
        <v>126</v>
      </c>
      <c r="D337" s="121" t="s">
        <v>374</v>
      </c>
      <c r="E337" s="117" t="s">
        <v>374</v>
      </c>
      <c r="F337" s="117" t="s">
        <v>374</v>
      </c>
      <c r="G337" s="117" t="s">
        <v>374</v>
      </c>
      <c r="H337" s="65">
        <f>'c-17'!G33</f>
        <v>83</v>
      </c>
      <c r="I337" s="64" t="s">
        <v>374</v>
      </c>
      <c r="J337" s="26">
        <f>'c-23'!G28</f>
        <v>337</v>
      </c>
      <c r="K337" s="117" t="s">
        <v>374</v>
      </c>
      <c r="L337" s="26">
        <f>'c-15'!H28</f>
        <v>2601</v>
      </c>
      <c r="M337" s="117" t="s">
        <v>374</v>
      </c>
      <c r="N337" s="65">
        <f>'c-16'!G26</f>
        <v>693</v>
      </c>
      <c r="O337" s="65" t="s">
        <v>374</v>
      </c>
      <c r="P337" s="65" t="s">
        <v>374</v>
      </c>
    </row>
    <row r="338" spans="1:16" ht="15.75" customHeight="1">
      <c r="A338" s="120" t="s">
        <v>795</v>
      </c>
      <c r="B338" s="26">
        <f t="shared" si="17"/>
        <v>1001</v>
      </c>
      <c r="C338" s="24">
        <f>'c-10'!G39</f>
        <v>14</v>
      </c>
      <c r="D338" s="121" t="s">
        <v>374</v>
      </c>
      <c r="E338" s="117" t="s">
        <v>374</v>
      </c>
      <c r="F338" s="117" t="s">
        <v>374</v>
      </c>
      <c r="G338" s="117" t="s">
        <v>374</v>
      </c>
      <c r="H338" s="65">
        <f>'c-17'!G34</f>
        <v>11</v>
      </c>
      <c r="I338" s="64" t="s">
        <v>374</v>
      </c>
      <c r="J338" s="26">
        <f>'c-23'!G29</f>
        <v>88</v>
      </c>
      <c r="K338" s="51">
        <f>'c-24'!G25</f>
        <v>36</v>
      </c>
      <c r="L338" s="26">
        <f>'c-15'!H29</f>
        <v>717</v>
      </c>
      <c r="M338" s="117" t="s">
        <v>374</v>
      </c>
      <c r="N338" s="65">
        <f>'c-16'!G27</f>
        <v>135</v>
      </c>
      <c r="O338" s="65" t="s">
        <v>374</v>
      </c>
      <c r="P338" s="65" t="s">
        <v>374</v>
      </c>
    </row>
    <row r="339" spans="1:16" ht="15.75" customHeight="1">
      <c r="A339" s="120" t="s">
        <v>796</v>
      </c>
      <c r="B339" s="26">
        <f t="shared" si="17"/>
        <v>1202</v>
      </c>
      <c r="C339" s="24">
        <f>'c-10'!G25</f>
        <v>422</v>
      </c>
      <c r="D339" s="121" t="s">
        <v>374</v>
      </c>
      <c r="E339" s="117" t="s">
        <v>374</v>
      </c>
      <c r="F339" s="117" t="s">
        <v>374</v>
      </c>
      <c r="G339" s="117" t="s">
        <v>374</v>
      </c>
      <c r="H339" s="65">
        <f>'c-17'!G19</f>
        <v>95</v>
      </c>
      <c r="I339" s="64" t="s">
        <v>374</v>
      </c>
      <c r="J339" s="26">
        <f>'c-23'!G13</f>
        <v>685</v>
      </c>
      <c r="K339" s="117" t="s">
        <v>374</v>
      </c>
      <c r="L339" s="117" t="s">
        <v>374</v>
      </c>
      <c r="M339" s="117" t="s">
        <v>374</v>
      </c>
      <c r="N339" s="118" t="s">
        <v>374</v>
      </c>
      <c r="O339" s="65" t="s">
        <v>374</v>
      </c>
      <c r="P339" s="65" t="s">
        <v>374</v>
      </c>
    </row>
    <row r="340" spans="1:16" ht="15.75" customHeight="1">
      <c r="A340" s="120" t="s">
        <v>797</v>
      </c>
      <c r="B340" s="26">
        <f t="shared" si="17"/>
        <v>415</v>
      </c>
      <c r="C340" s="24">
        <f>'c-10'!G23</f>
        <v>183</v>
      </c>
      <c r="D340" s="121" t="s">
        <v>374</v>
      </c>
      <c r="E340" s="117" t="s">
        <v>374</v>
      </c>
      <c r="F340" s="117" t="s">
        <v>374</v>
      </c>
      <c r="G340" s="117" t="s">
        <v>374</v>
      </c>
      <c r="H340" s="65">
        <f>'c-17'!G14</f>
        <v>102</v>
      </c>
      <c r="I340" s="64" t="s">
        <v>374</v>
      </c>
      <c r="J340" s="26">
        <f>'c-23'!G14</f>
        <v>130</v>
      </c>
      <c r="K340" s="117" t="s">
        <v>374</v>
      </c>
      <c r="L340" s="117" t="s">
        <v>374</v>
      </c>
      <c r="M340" s="117" t="s">
        <v>374</v>
      </c>
      <c r="N340" s="118" t="s">
        <v>374</v>
      </c>
      <c r="O340" s="65" t="s">
        <v>374</v>
      </c>
      <c r="P340" s="65" t="s">
        <v>374</v>
      </c>
    </row>
    <row r="341" spans="1:16" ht="15.75" customHeight="1">
      <c r="A341" s="120" t="s">
        <v>798</v>
      </c>
      <c r="B341" s="26">
        <f t="shared" si="17"/>
        <v>2418</v>
      </c>
      <c r="C341" s="24">
        <f>'c-10'!G24</f>
        <v>95</v>
      </c>
      <c r="D341" s="121" t="s">
        <v>374</v>
      </c>
      <c r="E341" s="64" t="s">
        <v>374</v>
      </c>
      <c r="F341" s="117" t="s">
        <v>374</v>
      </c>
      <c r="G341" s="117" t="s">
        <v>374</v>
      </c>
      <c r="H341" s="65">
        <f>'c-17'!G15</f>
        <v>146</v>
      </c>
      <c r="I341" s="64" t="s">
        <v>374</v>
      </c>
      <c r="J341" s="26">
        <f>'c-23'!G15</f>
        <v>231</v>
      </c>
      <c r="K341" s="51">
        <f>'c-24'!G13</f>
        <v>350</v>
      </c>
      <c r="L341" s="26">
        <f>'c-15'!H14</f>
        <v>1155</v>
      </c>
      <c r="M341" s="117" t="s">
        <v>374</v>
      </c>
      <c r="N341" s="65">
        <f>'c-16'!G17</f>
        <v>441</v>
      </c>
      <c r="O341" s="65" t="s">
        <v>374</v>
      </c>
      <c r="P341" s="65" t="s">
        <v>374</v>
      </c>
    </row>
    <row r="342" spans="1:16" ht="15.75" customHeight="1">
      <c r="A342" s="120" t="s">
        <v>799</v>
      </c>
      <c r="B342" s="26">
        <f t="shared" si="17"/>
        <v>580</v>
      </c>
      <c r="C342" s="24">
        <f>'c-10'!G20</f>
        <v>20</v>
      </c>
      <c r="D342" s="121" t="s">
        <v>374</v>
      </c>
      <c r="E342" s="64" t="s">
        <v>374</v>
      </c>
      <c r="F342" s="117" t="s">
        <v>374</v>
      </c>
      <c r="G342" s="117" t="s">
        <v>374</v>
      </c>
      <c r="H342" s="65">
        <f>'c-17'!G16</f>
        <v>42</v>
      </c>
      <c r="I342" s="64" t="s">
        <v>374</v>
      </c>
      <c r="J342" s="26">
        <f>'c-23'!G16</f>
        <v>37</v>
      </c>
      <c r="K342" s="51">
        <f>'c-24'!G14</f>
        <v>35</v>
      </c>
      <c r="L342" s="26">
        <f>'c-15'!H15</f>
        <v>360</v>
      </c>
      <c r="M342" s="117" t="s">
        <v>374</v>
      </c>
      <c r="N342" s="65">
        <f>'c-16'!G15</f>
        <v>86</v>
      </c>
      <c r="O342" s="65" t="s">
        <v>374</v>
      </c>
      <c r="P342" s="65" t="s">
        <v>374</v>
      </c>
    </row>
    <row r="343" spans="1:16" ht="15.75" customHeight="1">
      <c r="A343" s="120" t="s">
        <v>800</v>
      </c>
      <c r="B343" s="26">
        <f t="shared" si="17"/>
        <v>2756</v>
      </c>
      <c r="C343" s="24">
        <f>'c-10'!G21</f>
        <v>164</v>
      </c>
      <c r="D343" s="121" t="s">
        <v>374</v>
      </c>
      <c r="E343" s="64" t="s">
        <v>374</v>
      </c>
      <c r="F343" s="117" t="s">
        <v>374</v>
      </c>
      <c r="G343" s="117" t="s">
        <v>374</v>
      </c>
      <c r="H343" s="65">
        <f>'c-17'!G17</f>
        <v>111</v>
      </c>
      <c r="I343" s="64" t="s">
        <v>374</v>
      </c>
      <c r="J343" s="26">
        <f>'c-23'!G17</f>
        <v>122</v>
      </c>
      <c r="K343" s="51">
        <f>'c-24'!G15</f>
        <v>189</v>
      </c>
      <c r="L343" s="26">
        <f>'c-15'!H16</f>
        <v>2170</v>
      </c>
      <c r="M343" s="117" t="s">
        <v>374</v>
      </c>
      <c r="N343" s="66" t="s">
        <v>374</v>
      </c>
      <c r="O343" s="65" t="s">
        <v>374</v>
      </c>
      <c r="P343" s="65" t="s">
        <v>374</v>
      </c>
    </row>
    <row r="344" spans="1:16" ht="15.75" customHeight="1">
      <c r="A344" s="120" t="s">
        <v>801</v>
      </c>
      <c r="B344" s="26">
        <f t="shared" si="17"/>
        <v>178</v>
      </c>
      <c r="C344" s="24">
        <f>'c-10'!G22</f>
        <v>8</v>
      </c>
      <c r="D344" s="121" t="s">
        <v>374</v>
      </c>
      <c r="E344" s="64" t="s">
        <v>374</v>
      </c>
      <c r="F344" s="117" t="s">
        <v>374</v>
      </c>
      <c r="G344" s="117" t="s">
        <v>374</v>
      </c>
      <c r="H344" s="65">
        <f>'c-17'!G18</f>
        <v>8</v>
      </c>
      <c r="I344" s="64" t="s">
        <v>374</v>
      </c>
      <c r="J344" s="26">
        <f>'c-23'!G18</f>
        <v>22</v>
      </c>
      <c r="K344" s="51">
        <f>'c-24'!G16</f>
        <v>1</v>
      </c>
      <c r="L344" s="26">
        <f>'c-15'!H17</f>
        <v>106</v>
      </c>
      <c r="M344" s="117" t="s">
        <v>374</v>
      </c>
      <c r="N344" s="65">
        <f>'c-16'!G16</f>
        <v>33</v>
      </c>
      <c r="O344" s="65" t="s">
        <v>374</v>
      </c>
      <c r="P344" s="65" t="s">
        <v>374</v>
      </c>
    </row>
    <row r="345" spans="1:16" ht="15.75" customHeight="1">
      <c r="A345" s="120" t="s">
        <v>802</v>
      </c>
      <c r="B345" s="26">
        <f t="shared" si="17"/>
        <v>1150</v>
      </c>
      <c r="C345" s="24">
        <f>'c-10'!G77</f>
        <v>23</v>
      </c>
      <c r="D345" s="121" t="s">
        <v>374</v>
      </c>
      <c r="E345" s="64" t="s">
        <v>374</v>
      </c>
      <c r="F345" s="117" t="s">
        <v>374</v>
      </c>
      <c r="G345" s="117" t="s">
        <v>374</v>
      </c>
      <c r="H345" s="65">
        <f>'c-17'!G72</f>
        <v>11</v>
      </c>
      <c r="I345" s="64" t="s">
        <v>374</v>
      </c>
      <c r="J345" s="26">
        <f>'c-23'!G60</f>
        <v>51</v>
      </c>
      <c r="K345" s="51">
        <f>'c-24'!G50</f>
        <v>29</v>
      </c>
      <c r="L345" s="26">
        <f>'c-15'!H61</f>
        <v>894</v>
      </c>
      <c r="M345" s="117" t="s">
        <v>374</v>
      </c>
      <c r="N345" s="65">
        <f>'c-16'!G56</f>
        <v>142</v>
      </c>
      <c r="O345" s="65" t="s">
        <v>374</v>
      </c>
      <c r="P345" s="65" t="s">
        <v>374</v>
      </c>
    </row>
    <row r="346" spans="1:16" ht="15.75" customHeight="1">
      <c r="A346" s="120" t="s">
        <v>803</v>
      </c>
      <c r="B346" s="26">
        <f t="shared" si="17"/>
        <v>12348</v>
      </c>
      <c r="C346" s="24">
        <f>'c-10'!G62</f>
        <v>85</v>
      </c>
      <c r="D346" s="121">
        <f>'c-11'!G28</f>
        <v>9259</v>
      </c>
      <c r="E346" s="64" t="s">
        <v>374</v>
      </c>
      <c r="F346" s="117" t="s">
        <v>374</v>
      </c>
      <c r="G346" s="117" t="s">
        <v>374</v>
      </c>
      <c r="H346" s="65">
        <f>'c-17'!G57</f>
        <v>375</v>
      </c>
      <c r="I346" s="64" t="s">
        <v>374</v>
      </c>
      <c r="J346" s="26">
        <f>'c-23'!G47</f>
        <v>105</v>
      </c>
      <c r="K346" s="117" t="s">
        <v>374</v>
      </c>
      <c r="L346" s="26">
        <f>'c-15'!H46</f>
        <v>2524</v>
      </c>
      <c r="M346" s="117" t="s">
        <v>374</v>
      </c>
      <c r="N346" s="66" t="s">
        <v>374</v>
      </c>
      <c r="O346" s="65" t="s">
        <v>374</v>
      </c>
      <c r="P346" s="65" t="s">
        <v>374</v>
      </c>
    </row>
    <row r="347" spans="1:16" ht="15.75" customHeight="1">
      <c r="A347" s="120" t="s">
        <v>1018</v>
      </c>
      <c r="B347" s="26">
        <f t="shared" si="17"/>
        <v>664</v>
      </c>
      <c r="C347" s="24">
        <f>'c-10'!G63</f>
        <v>26</v>
      </c>
      <c r="D347" s="121" t="s">
        <v>374</v>
      </c>
      <c r="E347" s="64" t="s">
        <v>374</v>
      </c>
      <c r="F347" s="117" t="s">
        <v>374</v>
      </c>
      <c r="G347" s="117" t="s">
        <v>374</v>
      </c>
      <c r="H347" s="65">
        <f>'c-17'!G58</f>
        <v>26</v>
      </c>
      <c r="I347" s="64" t="s">
        <v>374</v>
      </c>
      <c r="J347" s="26">
        <f>'c-23'!G48</f>
        <v>47</v>
      </c>
      <c r="K347" s="51">
        <f>'c-24'!G43</f>
        <v>123</v>
      </c>
      <c r="L347" s="26">
        <f>'c-15'!H47</f>
        <v>332</v>
      </c>
      <c r="M347" s="117" t="s">
        <v>374</v>
      </c>
      <c r="N347" s="65">
        <f>'c-16'!G47</f>
        <v>110</v>
      </c>
      <c r="O347" s="65" t="s">
        <v>374</v>
      </c>
      <c r="P347" s="65" t="s">
        <v>374</v>
      </c>
    </row>
    <row r="348" spans="1:16" ht="15.75" customHeight="1">
      <c r="A348" s="120" t="s">
        <v>804</v>
      </c>
      <c r="B348" s="26">
        <f t="shared" si="17"/>
        <v>1233</v>
      </c>
      <c r="C348" s="24">
        <f>'c-10'!G44</f>
        <v>39</v>
      </c>
      <c r="D348" s="121" t="s">
        <v>374</v>
      </c>
      <c r="E348" s="64" t="s">
        <v>374</v>
      </c>
      <c r="F348" s="117" t="s">
        <v>374</v>
      </c>
      <c r="G348" s="117" t="s">
        <v>374</v>
      </c>
      <c r="H348" s="65">
        <f>'c-17'!G39</f>
        <v>23</v>
      </c>
      <c r="I348" s="64" t="s">
        <v>374</v>
      </c>
      <c r="J348" s="26">
        <f>'c-23'!G33</f>
        <v>54</v>
      </c>
      <c r="K348" s="51">
        <f>'c-24'!G30</f>
        <v>75</v>
      </c>
      <c r="L348" s="26">
        <f>'c-15'!H33</f>
        <v>797</v>
      </c>
      <c r="M348" s="117" t="s">
        <v>374</v>
      </c>
      <c r="N348" s="65">
        <f>'c-16'!G31</f>
        <v>245</v>
      </c>
      <c r="O348" s="65" t="s">
        <v>374</v>
      </c>
      <c r="P348" s="65" t="s">
        <v>374</v>
      </c>
    </row>
    <row r="349" spans="1:16" ht="15.75" customHeight="1">
      <c r="A349" s="120" t="s">
        <v>805</v>
      </c>
      <c r="B349" s="26">
        <f t="shared" si="17"/>
        <v>806</v>
      </c>
      <c r="C349" s="24">
        <f>'c-10'!G64</f>
        <v>44</v>
      </c>
      <c r="D349" s="121" t="s">
        <v>374</v>
      </c>
      <c r="E349" s="117" t="s">
        <v>374</v>
      </c>
      <c r="F349" s="117" t="s">
        <v>374</v>
      </c>
      <c r="G349" s="117" t="s">
        <v>374</v>
      </c>
      <c r="H349" s="65">
        <f>'c-17'!G59</f>
        <v>26</v>
      </c>
      <c r="I349" s="64" t="s">
        <v>374</v>
      </c>
      <c r="J349" s="26">
        <f>'c-23'!G49</f>
        <v>70</v>
      </c>
      <c r="K349" s="51" t="s">
        <v>374</v>
      </c>
      <c r="L349" s="26">
        <f>'c-15'!H48</f>
        <v>538</v>
      </c>
      <c r="M349" s="117" t="s">
        <v>374</v>
      </c>
      <c r="N349" s="65">
        <f>'c-16'!G48</f>
        <v>128</v>
      </c>
      <c r="O349" s="65" t="s">
        <v>374</v>
      </c>
      <c r="P349" s="65" t="s">
        <v>374</v>
      </c>
    </row>
    <row r="350" spans="1:16" ht="15.75" customHeight="1">
      <c r="A350" s="116" t="s">
        <v>806</v>
      </c>
      <c r="B350" s="26">
        <f t="shared" si="17"/>
        <v>3613</v>
      </c>
      <c r="C350" s="24">
        <f>'c-10'!G65</f>
        <v>917</v>
      </c>
      <c r="D350" s="24" t="s">
        <v>374</v>
      </c>
      <c r="E350" s="66" t="s">
        <v>374</v>
      </c>
      <c r="F350" s="66" t="s">
        <v>374</v>
      </c>
      <c r="G350" s="66" t="s">
        <v>374</v>
      </c>
      <c r="H350" s="65">
        <f>'c-17'!G60</f>
        <v>215</v>
      </c>
      <c r="I350" s="66" t="s">
        <v>374</v>
      </c>
      <c r="J350" s="26">
        <f>'c-23'!G50</f>
        <v>264</v>
      </c>
      <c r="K350" s="118" t="s">
        <v>374</v>
      </c>
      <c r="L350" s="65">
        <f>'c-15'!H51</f>
        <v>1703</v>
      </c>
      <c r="M350" s="66" t="s">
        <v>374</v>
      </c>
      <c r="N350" s="65">
        <f>'c-16'!G49</f>
        <v>514</v>
      </c>
      <c r="O350" s="65" t="s">
        <v>374</v>
      </c>
      <c r="P350" s="65" t="s">
        <v>374</v>
      </c>
    </row>
    <row r="351" spans="1:16" ht="15.75" customHeight="1">
      <c r="A351" s="143"/>
      <c r="B351" s="71"/>
      <c r="C351" s="136"/>
      <c r="D351" s="136"/>
      <c r="E351" s="105"/>
      <c r="F351" s="105"/>
      <c r="G351" s="105"/>
      <c r="H351" s="71"/>
      <c r="I351" s="105"/>
      <c r="J351" s="124"/>
      <c r="K351" s="137"/>
      <c r="L351" s="71"/>
      <c r="M351" s="105"/>
      <c r="N351" s="71"/>
      <c r="O351" s="71"/>
      <c r="P351" s="71"/>
    </row>
    <row r="352" spans="1:16" ht="15.75" customHeight="1">
      <c r="A352" s="138"/>
      <c r="B352" s="125"/>
      <c r="C352" s="139"/>
      <c r="D352" s="139"/>
      <c r="E352" s="125"/>
      <c r="F352" s="125"/>
      <c r="G352" s="125"/>
      <c r="H352" s="139"/>
      <c r="I352" s="125"/>
      <c r="J352" s="139"/>
      <c r="K352" s="125"/>
      <c r="L352" s="139"/>
      <c r="M352" s="125"/>
      <c r="N352" s="139"/>
      <c r="O352" s="94"/>
      <c r="P352" s="94"/>
    </row>
    <row r="353" spans="1:20" ht="15.75" customHeight="1">
      <c r="A353" s="138"/>
      <c r="B353" s="125"/>
      <c r="C353" s="139"/>
      <c r="D353" s="139"/>
      <c r="E353" s="125"/>
      <c r="F353" s="125"/>
      <c r="G353" s="125"/>
      <c r="H353" s="139"/>
      <c r="I353" s="125"/>
      <c r="J353" s="139"/>
      <c r="K353" s="125"/>
      <c r="L353" s="139"/>
      <c r="M353" s="125"/>
      <c r="N353" s="139"/>
      <c r="O353" s="94"/>
      <c r="P353" s="94"/>
    </row>
    <row r="354" spans="1:20" s="91" customFormat="1" ht="15.75" customHeight="1">
      <c r="A354" s="93" t="s">
        <v>525</v>
      </c>
      <c r="B354" s="146"/>
      <c r="C354" s="126"/>
      <c r="D354" s="126"/>
      <c r="E354" s="126"/>
      <c r="F354" s="126"/>
      <c r="G354" s="126"/>
      <c r="H354" s="126"/>
      <c r="I354" s="126"/>
      <c r="J354" s="126"/>
      <c r="K354" s="126"/>
      <c r="L354" s="126"/>
      <c r="M354" s="126"/>
      <c r="N354" s="126"/>
      <c r="O354" s="127"/>
      <c r="P354" s="127"/>
      <c r="S354" s="35"/>
      <c r="T354" s="35"/>
    </row>
    <row r="355" spans="1:20" s="91" customFormat="1" ht="15.75" customHeight="1">
      <c r="A355" s="128"/>
      <c r="B355" s="96"/>
      <c r="C355" s="454" t="s">
        <v>222</v>
      </c>
      <c r="D355" s="454"/>
      <c r="E355" s="454"/>
      <c r="F355" s="454"/>
      <c r="G355" s="454"/>
      <c r="H355" s="454"/>
      <c r="I355" s="454"/>
      <c r="J355" s="454"/>
      <c r="K355" s="454"/>
      <c r="L355" s="454"/>
      <c r="M355" s="454"/>
      <c r="N355" s="454"/>
      <c r="O355" s="454"/>
      <c r="P355" s="454"/>
      <c r="S355" s="35"/>
      <c r="T355" s="35"/>
    </row>
    <row r="356" spans="1:20" s="91" customFormat="1" ht="15.75" customHeight="1">
      <c r="A356" s="58" t="s">
        <v>359</v>
      </c>
      <c r="B356" s="97" t="s">
        <v>221</v>
      </c>
      <c r="C356" s="97" t="s">
        <v>333</v>
      </c>
      <c r="D356" s="97" t="s">
        <v>360</v>
      </c>
      <c r="E356" s="97" t="s">
        <v>361</v>
      </c>
      <c r="F356" s="97" t="s">
        <v>228</v>
      </c>
      <c r="G356" s="97" t="s">
        <v>362</v>
      </c>
      <c r="H356" s="97" t="s">
        <v>231</v>
      </c>
      <c r="I356" s="97" t="s">
        <v>232</v>
      </c>
      <c r="J356" s="97" t="s">
        <v>363</v>
      </c>
      <c r="K356" s="97" t="s">
        <v>235</v>
      </c>
      <c r="L356" s="97" t="s">
        <v>364</v>
      </c>
      <c r="M356" s="97" t="s">
        <v>365</v>
      </c>
      <c r="N356" s="98" t="s">
        <v>366</v>
      </c>
      <c r="O356" s="63" t="s">
        <v>367</v>
      </c>
      <c r="P356" s="63" t="s">
        <v>368</v>
      </c>
      <c r="S356" s="35"/>
      <c r="T356" s="35"/>
    </row>
    <row r="357" spans="1:20" s="91" customFormat="1" ht="15.75" customHeight="1">
      <c r="A357" s="129"/>
      <c r="B357" s="101"/>
      <c r="C357" s="101"/>
      <c r="D357" s="101"/>
      <c r="E357" s="102" t="s">
        <v>369</v>
      </c>
      <c r="F357" s="102"/>
      <c r="G357" s="102"/>
      <c r="H357" s="101"/>
      <c r="I357" s="102"/>
      <c r="J357" s="102" t="s">
        <v>370</v>
      </c>
      <c r="K357" s="101"/>
      <c r="L357" s="102" t="s">
        <v>371</v>
      </c>
      <c r="M357" s="102" t="s">
        <v>372</v>
      </c>
      <c r="N357" s="103" t="s">
        <v>373</v>
      </c>
      <c r="O357" s="104" t="s">
        <v>370</v>
      </c>
      <c r="P357" s="105"/>
      <c r="S357" s="35"/>
      <c r="T357" s="35"/>
    </row>
    <row r="358" spans="1:20" ht="15.75" customHeight="1">
      <c r="A358" s="120"/>
      <c r="B358" s="64"/>
      <c r="C358" s="24"/>
      <c r="D358" s="121"/>
      <c r="E358" s="117"/>
      <c r="F358" s="117"/>
      <c r="G358" s="117"/>
      <c r="H358" s="24"/>
      <c r="I358" s="117"/>
      <c r="J358" s="24"/>
      <c r="K358" s="66"/>
      <c r="L358" s="150"/>
      <c r="M358" s="117"/>
      <c r="N358" s="24"/>
      <c r="O358" s="65"/>
      <c r="P358" s="65"/>
    </row>
    <row r="359" spans="1:20" ht="15.75" customHeight="1">
      <c r="A359" s="120" t="s">
        <v>807</v>
      </c>
      <c r="B359" s="26">
        <f t="shared" ref="B359:B402" si="18">SUM(C359:P359)</f>
        <v>1648</v>
      </c>
      <c r="C359" s="134">
        <f>'c-10'!G66</f>
        <v>91</v>
      </c>
      <c r="D359" s="24" t="s">
        <v>374</v>
      </c>
      <c r="E359" s="117" t="s">
        <v>374</v>
      </c>
      <c r="F359" s="117" t="s">
        <v>374</v>
      </c>
      <c r="G359" s="117" t="s">
        <v>374</v>
      </c>
      <c r="H359" s="65">
        <f>'c-17'!G61</f>
        <v>67</v>
      </c>
      <c r="I359" s="64" t="s">
        <v>374</v>
      </c>
      <c r="J359" s="65">
        <f>'c-23'!G51</f>
        <v>80</v>
      </c>
      <c r="K359" s="66" t="s">
        <v>374</v>
      </c>
      <c r="L359" s="26">
        <f>'c-15'!H52</f>
        <v>1080</v>
      </c>
      <c r="M359" s="117" t="s">
        <v>374</v>
      </c>
      <c r="N359" s="65">
        <f>'c-16'!G50</f>
        <v>330</v>
      </c>
      <c r="O359" s="65" t="s">
        <v>374</v>
      </c>
      <c r="P359" s="65" t="s">
        <v>374</v>
      </c>
    </row>
    <row r="360" spans="1:20" ht="15.75" customHeight="1">
      <c r="A360" s="120" t="s">
        <v>808</v>
      </c>
      <c r="B360" s="26">
        <f t="shared" si="18"/>
        <v>1883</v>
      </c>
      <c r="C360" s="134">
        <f>'c-10'!G45</f>
        <v>112</v>
      </c>
      <c r="D360" s="24" t="s">
        <v>374</v>
      </c>
      <c r="E360" s="117" t="s">
        <v>374</v>
      </c>
      <c r="F360" s="117" t="s">
        <v>374</v>
      </c>
      <c r="G360" s="117" t="s">
        <v>374</v>
      </c>
      <c r="H360" s="65">
        <f>'c-17'!G40</f>
        <v>37</v>
      </c>
      <c r="I360" s="64" t="s">
        <v>374</v>
      </c>
      <c r="J360" s="65">
        <f>'c-23'!G34</f>
        <v>175</v>
      </c>
      <c r="K360" s="26">
        <f>'c-24'!G31</f>
        <v>476</v>
      </c>
      <c r="L360" s="26">
        <f>'c-15'!H34</f>
        <v>849</v>
      </c>
      <c r="M360" s="117" t="s">
        <v>374</v>
      </c>
      <c r="N360" s="65">
        <f>'c-16'!G32</f>
        <v>234</v>
      </c>
      <c r="O360" s="65" t="s">
        <v>374</v>
      </c>
      <c r="P360" s="65" t="s">
        <v>374</v>
      </c>
    </row>
    <row r="361" spans="1:20" ht="15.75" customHeight="1">
      <c r="A361" s="120" t="s">
        <v>809</v>
      </c>
      <c r="B361" s="26">
        <f t="shared" si="18"/>
        <v>641</v>
      </c>
      <c r="C361" s="134">
        <f>'c-10'!G46</f>
        <v>23</v>
      </c>
      <c r="D361" s="24" t="s">
        <v>374</v>
      </c>
      <c r="E361" s="117" t="s">
        <v>374</v>
      </c>
      <c r="F361" s="117" t="s">
        <v>374</v>
      </c>
      <c r="G361" s="117" t="s">
        <v>374</v>
      </c>
      <c r="H361" s="65">
        <f>'c-17'!G41</f>
        <v>20</v>
      </c>
      <c r="I361" s="64" t="s">
        <v>374</v>
      </c>
      <c r="J361" s="65">
        <f>'c-23'!G35</f>
        <v>46</v>
      </c>
      <c r="K361" s="26">
        <f>'c-24'!G29</f>
        <v>323</v>
      </c>
      <c r="L361" s="26">
        <f>'c-15'!H35</f>
        <v>150</v>
      </c>
      <c r="M361" s="117" t="s">
        <v>374</v>
      </c>
      <c r="N361" s="65">
        <f>'c-16'!G33</f>
        <v>79</v>
      </c>
      <c r="O361" s="65" t="s">
        <v>374</v>
      </c>
      <c r="P361" s="65" t="s">
        <v>374</v>
      </c>
    </row>
    <row r="362" spans="1:20" ht="15.75" customHeight="1">
      <c r="A362" s="120" t="s">
        <v>810</v>
      </c>
      <c r="B362" s="26">
        <f t="shared" si="18"/>
        <v>1307</v>
      </c>
      <c r="C362" s="134">
        <f>'c-10'!G47</f>
        <v>48</v>
      </c>
      <c r="D362" s="24" t="s">
        <v>374</v>
      </c>
      <c r="E362" s="117" t="s">
        <v>374</v>
      </c>
      <c r="F362" s="117" t="s">
        <v>374</v>
      </c>
      <c r="G362" s="117" t="s">
        <v>374</v>
      </c>
      <c r="H362" s="65">
        <f>'c-17'!G42</f>
        <v>55</v>
      </c>
      <c r="I362" s="64" t="s">
        <v>374</v>
      </c>
      <c r="J362" s="65">
        <f>'c-23'!G36</f>
        <v>111</v>
      </c>
      <c r="K362" s="64" t="s">
        <v>374</v>
      </c>
      <c r="L362" s="26">
        <f>'c-15'!H36</f>
        <v>905</v>
      </c>
      <c r="M362" s="117" t="s">
        <v>374</v>
      </c>
      <c r="N362" s="65">
        <f>'c-16'!G34</f>
        <v>188</v>
      </c>
      <c r="O362" s="65" t="s">
        <v>374</v>
      </c>
      <c r="P362" s="65" t="s">
        <v>374</v>
      </c>
    </row>
    <row r="363" spans="1:20" ht="15.75" customHeight="1">
      <c r="A363" s="120" t="s">
        <v>811</v>
      </c>
      <c r="B363" s="26">
        <f t="shared" si="18"/>
        <v>1878</v>
      </c>
      <c r="C363" s="134">
        <f>'c-10'!G53</f>
        <v>56</v>
      </c>
      <c r="D363" s="24" t="s">
        <v>374</v>
      </c>
      <c r="E363" s="117" t="s">
        <v>374</v>
      </c>
      <c r="F363" s="117" t="s">
        <v>374</v>
      </c>
      <c r="G363" s="117" t="s">
        <v>374</v>
      </c>
      <c r="H363" s="65">
        <f>'c-17'!G47</f>
        <v>157</v>
      </c>
      <c r="I363" s="64" t="s">
        <v>374</v>
      </c>
      <c r="J363" s="65">
        <f>'c-23'!G40</f>
        <v>182</v>
      </c>
      <c r="K363" s="26">
        <f>'c-24'!G35</f>
        <v>138</v>
      </c>
      <c r="L363" s="26">
        <f>'c-15'!H40</f>
        <v>1345</v>
      </c>
      <c r="M363" s="117" t="s">
        <v>374</v>
      </c>
      <c r="N363" s="65">
        <f>'c-16'!G38</f>
        <v>0</v>
      </c>
      <c r="O363" s="65" t="s">
        <v>374</v>
      </c>
      <c r="P363" s="65" t="s">
        <v>374</v>
      </c>
    </row>
    <row r="364" spans="1:20" ht="15.75" customHeight="1">
      <c r="A364" s="120" t="s">
        <v>109</v>
      </c>
      <c r="B364" s="26">
        <f t="shared" si="18"/>
        <v>1389</v>
      </c>
      <c r="C364" s="134">
        <f>'c-10'!G54</f>
        <v>19</v>
      </c>
      <c r="D364" s="24" t="s">
        <v>374</v>
      </c>
      <c r="E364" s="117" t="s">
        <v>374</v>
      </c>
      <c r="F364" s="117" t="s">
        <v>374</v>
      </c>
      <c r="G364" s="117" t="s">
        <v>374</v>
      </c>
      <c r="H364" s="65">
        <f>'c-17'!G48</f>
        <v>38</v>
      </c>
      <c r="I364" s="64" t="s">
        <v>374</v>
      </c>
      <c r="J364" s="65">
        <f>'c-23'!G41</f>
        <v>148</v>
      </c>
      <c r="K364" s="26">
        <f>'c-24'!G36</f>
        <v>54</v>
      </c>
      <c r="L364" s="26">
        <f>'c-15'!H41</f>
        <v>902</v>
      </c>
      <c r="M364" s="117" t="s">
        <v>374</v>
      </c>
      <c r="N364" s="65">
        <f>'c-16'!G39</f>
        <v>228</v>
      </c>
      <c r="O364" s="65" t="s">
        <v>374</v>
      </c>
      <c r="P364" s="65" t="s">
        <v>374</v>
      </c>
    </row>
    <row r="365" spans="1:20" ht="15.75" customHeight="1">
      <c r="A365" s="120" t="s">
        <v>110</v>
      </c>
      <c r="B365" s="26">
        <f t="shared" si="18"/>
        <v>567</v>
      </c>
      <c r="C365" s="134">
        <f>'c-10'!G55</f>
        <v>7</v>
      </c>
      <c r="D365" s="24" t="s">
        <v>374</v>
      </c>
      <c r="E365" s="117" t="s">
        <v>374</v>
      </c>
      <c r="F365" s="117" t="s">
        <v>374</v>
      </c>
      <c r="G365" s="117" t="s">
        <v>374</v>
      </c>
      <c r="H365" s="65">
        <f>'c-17'!G49</f>
        <v>30</v>
      </c>
      <c r="I365" s="64" t="s">
        <v>374</v>
      </c>
      <c r="J365" s="65">
        <f>'c-23'!G42</f>
        <v>49</v>
      </c>
      <c r="K365" s="26">
        <f>'c-24'!G37</f>
        <v>39</v>
      </c>
      <c r="L365" s="26">
        <f>'c-15'!H42</f>
        <v>286</v>
      </c>
      <c r="M365" s="117" t="s">
        <v>374</v>
      </c>
      <c r="N365" s="65">
        <f>'c-16'!G40</f>
        <v>156</v>
      </c>
      <c r="O365" s="65" t="s">
        <v>374</v>
      </c>
      <c r="P365" s="65" t="s">
        <v>374</v>
      </c>
    </row>
    <row r="366" spans="1:20" ht="15.75" customHeight="1">
      <c r="A366" s="120" t="s">
        <v>111</v>
      </c>
      <c r="B366" s="26">
        <f t="shared" si="18"/>
        <v>1967</v>
      </c>
      <c r="C366" s="134">
        <f>'c-10'!G56</f>
        <v>34</v>
      </c>
      <c r="D366" s="24" t="s">
        <v>374</v>
      </c>
      <c r="E366" s="117" t="s">
        <v>374</v>
      </c>
      <c r="F366" s="117" t="s">
        <v>374</v>
      </c>
      <c r="G366" s="117" t="s">
        <v>374</v>
      </c>
      <c r="H366" s="65">
        <f>'c-17'!G50</f>
        <v>272</v>
      </c>
      <c r="I366" s="64" t="s">
        <v>374</v>
      </c>
      <c r="J366" s="65">
        <f>'c-23'!G43</f>
        <v>177</v>
      </c>
      <c r="K366" s="26">
        <f>'c-24'!G38</f>
        <v>246</v>
      </c>
      <c r="L366" s="26">
        <f>'c-15'!H43</f>
        <v>887</v>
      </c>
      <c r="M366" s="117" t="s">
        <v>374</v>
      </c>
      <c r="N366" s="65">
        <f>'c-16'!G41</f>
        <v>351</v>
      </c>
      <c r="O366" s="65" t="s">
        <v>374</v>
      </c>
      <c r="P366" s="65" t="s">
        <v>374</v>
      </c>
      <c r="S366" s="91"/>
      <c r="T366" s="91"/>
    </row>
    <row r="367" spans="1:20" ht="15.75" customHeight="1">
      <c r="A367" s="120" t="s">
        <v>112</v>
      </c>
      <c r="B367" s="26">
        <f t="shared" si="18"/>
        <v>645</v>
      </c>
      <c r="C367" s="134">
        <f>'c-10'!G72</f>
        <v>153</v>
      </c>
      <c r="D367" s="24" t="s">
        <v>374</v>
      </c>
      <c r="E367" s="117" t="s">
        <v>374</v>
      </c>
      <c r="F367" s="117" t="s">
        <v>374</v>
      </c>
      <c r="G367" s="117" t="s">
        <v>374</v>
      </c>
      <c r="H367" s="65">
        <f>'c-17'!G67</f>
        <v>169</v>
      </c>
      <c r="I367" s="64" t="s">
        <v>374</v>
      </c>
      <c r="J367" s="65">
        <f>'c-23'!G55</f>
        <v>323</v>
      </c>
      <c r="K367" s="64" t="s">
        <v>374</v>
      </c>
      <c r="L367" s="64" t="s">
        <v>374</v>
      </c>
      <c r="M367" s="117" t="s">
        <v>374</v>
      </c>
      <c r="N367" s="118" t="s">
        <v>374</v>
      </c>
      <c r="O367" s="65" t="s">
        <v>374</v>
      </c>
      <c r="P367" s="65" t="s">
        <v>374</v>
      </c>
    </row>
    <row r="368" spans="1:20" ht="15.75" customHeight="1">
      <c r="A368" s="120" t="s">
        <v>113</v>
      </c>
      <c r="B368" s="26">
        <f t="shared" si="18"/>
        <v>3411</v>
      </c>
      <c r="C368" s="134">
        <f>'c-10'!G73</f>
        <v>70</v>
      </c>
      <c r="D368" s="24" t="s">
        <v>374</v>
      </c>
      <c r="E368" s="117" t="s">
        <v>374</v>
      </c>
      <c r="F368" s="117" t="s">
        <v>374</v>
      </c>
      <c r="G368" s="117" t="s">
        <v>374</v>
      </c>
      <c r="H368" s="65">
        <f>'c-17'!G68</f>
        <v>240</v>
      </c>
      <c r="I368" s="64" t="s">
        <v>374</v>
      </c>
      <c r="J368" s="65">
        <f>'c-23'!G56</f>
        <v>264</v>
      </c>
      <c r="K368" s="64" t="s">
        <v>374</v>
      </c>
      <c r="L368" s="26">
        <f>'c-15'!H57</f>
        <v>2218</v>
      </c>
      <c r="M368" s="117" t="s">
        <v>374</v>
      </c>
      <c r="N368" s="65">
        <f>'c-16'!G57</f>
        <v>619</v>
      </c>
      <c r="O368" s="65" t="s">
        <v>374</v>
      </c>
      <c r="P368" s="65" t="s">
        <v>374</v>
      </c>
    </row>
    <row r="369" spans="1:16" ht="15.75" customHeight="1">
      <c r="A369" s="120" t="s">
        <v>114</v>
      </c>
      <c r="B369" s="26">
        <f t="shared" si="18"/>
        <v>517</v>
      </c>
      <c r="C369" s="134">
        <f>'c-10'!G74</f>
        <v>7</v>
      </c>
      <c r="D369" s="24" t="s">
        <v>374</v>
      </c>
      <c r="E369" s="117" t="s">
        <v>374</v>
      </c>
      <c r="F369" s="117" t="s">
        <v>374</v>
      </c>
      <c r="G369" s="117" t="s">
        <v>374</v>
      </c>
      <c r="H369" s="65">
        <f>'c-17'!G69</f>
        <v>4</v>
      </c>
      <c r="I369" s="64" t="s">
        <v>374</v>
      </c>
      <c r="J369" s="65">
        <f>'c-23'!G57</f>
        <v>13</v>
      </c>
      <c r="K369" s="26">
        <f>'c-24'!G47</f>
        <v>36</v>
      </c>
      <c r="L369" s="26">
        <f>'c-15'!H58</f>
        <v>388</v>
      </c>
      <c r="M369" s="117" t="s">
        <v>374</v>
      </c>
      <c r="N369" s="65">
        <f>'c-16'!G58</f>
        <v>69</v>
      </c>
      <c r="O369" s="65" t="s">
        <v>374</v>
      </c>
      <c r="P369" s="65" t="s">
        <v>374</v>
      </c>
    </row>
    <row r="370" spans="1:16" ht="15.75" customHeight="1">
      <c r="A370" s="120" t="s">
        <v>115</v>
      </c>
      <c r="B370" s="26">
        <f t="shared" si="18"/>
        <v>4043</v>
      </c>
      <c r="C370" s="134">
        <f>'c-10'!G75</f>
        <v>338</v>
      </c>
      <c r="D370" s="24" t="s">
        <v>374</v>
      </c>
      <c r="E370" s="117" t="s">
        <v>374</v>
      </c>
      <c r="F370" s="117" t="s">
        <v>374</v>
      </c>
      <c r="G370" s="117" t="s">
        <v>374</v>
      </c>
      <c r="H370" s="65">
        <f>'c-17'!G70</f>
        <v>205</v>
      </c>
      <c r="I370" s="64" t="s">
        <v>374</v>
      </c>
      <c r="J370" s="65">
        <f>'c-23'!G58</f>
        <v>228</v>
      </c>
      <c r="K370" s="26">
        <f>'c-24'!G48</f>
        <v>207</v>
      </c>
      <c r="L370" s="26">
        <f>'c-15'!H59</f>
        <v>3065</v>
      </c>
      <c r="M370" s="117" t="s">
        <v>374</v>
      </c>
      <c r="N370" s="65" t="s">
        <v>374</v>
      </c>
      <c r="O370" s="65" t="s">
        <v>374</v>
      </c>
      <c r="P370" s="65" t="s">
        <v>374</v>
      </c>
    </row>
    <row r="371" spans="1:16" ht="15.75" customHeight="1">
      <c r="A371" s="120" t="s">
        <v>116</v>
      </c>
      <c r="B371" s="26">
        <f t="shared" si="18"/>
        <v>1120</v>
      </c>
      <c r="C371" s="134">
        <f>'c-10'!G76</f>
        <v>79</v>
      </c>
      <c r="D371" s="24" t="s">
        <v>374</v>
      </c>
      <c r="E371" s="117" t="s">
        <v>374</v>
      </c>
      <c r="F371" s="117" t="s">
        <v>374</v>
      </c>
      <c r="G371" s="117" t="s">
        <v>374</v>
      </c>
      <c r="H371" s="65">
        <f>'c-17'!G71</f>
        <v>26</v>
      </c>
      <c r="I371" s="64" t="s">
        <v>374</v>
      </c>
      <c r="J371" s="65">
        <f>'c-23'!G59</f>
        <v>67</v>
      </c>
      <c r="K371" s="26">
        <f>'c-24'!G49</f>
        <v>21</v>
      </c>
      <c r="L371" s="26">
        <f>'c-15'!H60</f>
        <v>726</v>
      </c>
      <c r="M371" s="117" t="s">
        <v>374</v>
      </c>
      <c r="N371" s="65">
        <f>'c-16'!G59</f>
        <v>201</v>
      </c>
      <c r="O371" s="65" t="s">
        <v>374</v>
      </c>
      <c r="P371" s="65" t="s">
        <v>374</v>
      </c>
    </row>
    <row r="372" spans="1:16" ht="15.75" customHeight="1">
      <c r="A372" s="120" t="s">
        <v>117</v>
      </c>
      <c r="B372" s="26">
        <f t="shared" si="18"/>
        <v>2053</v>
      </c>
      <c r="C372" s="134">
        <f>'c-10'!G83</f>
        <v>112</v>
      </c>
      <c r="D372" s="24" t="s">
        <v>374</v>
      </c>
      <c r="E372" s="117" t="s">
        <v>374</v>
      </c>
      <c r="F372" s="117" t="s">
        <v>374</v>
      </c>
      <c r="G372" s="117" t="s">
        <v>374</v>
      </c>
      <c r="H372" s="65">
        <f>'c-17'!G77</f>
        <v>9</v>
      </c>
      <c r="I372" s="64" t="s">
        <v>374</v>
      </c>
      <c r="J372" s="65">
        <f>'c-23'!G64</f>
        <v>45</v>
      </c>
      <c r="K372" s="26">
        <f>'c-24'!G54</f>
        <v>287</v>
      </c>
      <c r="L372" s="26">
        <f>'c-15'!H69</f>
        <v>1331</v>
      </c>
      <c r="M372" s="117" t="s">
        <v>374</v>
      </c>
      <c r="N372" s="65">
        <f>'c-16'!G64</f>
        <v>269</v>
      </c>
      <c r="O372" s="65" t="s">
        <v>374</v>
      </c>
      <c r="P372" s="65" t="s">
        <v>374</v>
      </c>
    </row>
    <row r="373" spans="1:16" ht="15.75" customHeight="1">
      <c r="A373" s="120" t="s">
        <v>118</v>
      </c>
      <c r="B373" s="26">
        <f t="shared" si="18"/>
        <v>1805</v>
      </c>
      <c r="C373" s="134">
        <f>'c-10'!G84</f>
        <v>119</v>
      </c>
      <c r="D373" s="24" t="s">
        <v>374</v>
      </c>
      <c r="E373" s="117" t="s">
        <v>374</v>
      </c>
      <c r="F373" s="117" t="s">
        <v>374</v>
      </c>
      <c r="G373" s="117" t="s">
        <v>374</v>
      </c>
      <c r="H373" s="65" t="s">
        <v>374</v>
      </c>
      <c r="I373" s="64" t="s">
        <v>374</v>
      </c>
      <c r="J373" s="65">
        <f>'c-23'!G65</f>
        <v>150</v>
      </c>
      <c r="K373" s="26">
        <f>'c-24'!G55</f>
        <v>182</v>
      </c>
      <c r="L373" s="26">
        <f>'c-15'!H65</f>
        <v>853</v>
      </c>
      <c r="M373" s="117" t="s">
        <v>374</v>
      </c>
      <c r="N373" s="65">
        <f>'c-16'!G65</f>
        <v>501</v>
      </c>
      <c r="O373" s="65" t="s">
        <v>374</v>
      </c>
      <c r="P373" s="65" t="s">
        <v>374</v>
      </c>
    </row>
    <row r="374" spans="1:16" ht="15.75" customHeight="1">
      <c r="A374" s="120" t="s">
        <v>119</v>
      </c>
      <c r="B374" s="26">
        <f t="shared" si="18"/>
        <v>1141</v>
      </c>
      <c r="C374" s="134">
        <f>'c-10'!G85</f>
        <v>19</v>
      </c>
      <c r="D374" s="24" t="s">
        <v>374</v>
      </c>
      <c r="E374" s="117" t="s">
        <v>374</v>
      </c>
      <c r="F374" s="117" t="s">
        <v>374</v>
      </c>
      <c r="G374" s="117" t="s">
        <v>374</v>
      </c>
      <c r="H374" s="65">
        <f>'c-17'!G78</f>
        <v>0</v>
      </c>
      <c r="I374" s="64" t="s">
        <v>374</v>
      </c>
      <c r="J374" s="65">
        <f>'c-23'!G66</f>
        <v>61</v>
      </c>
      <c r="K374" s="26">
        <f>'c-24'!G56</f>
        <v>49</v>
      </c>
      <c r="L374" s="26">
        <f>'c-15'!H66</f>
        <v>862</v>
      </c>
      <c r="M374" s="117" t="s">
        <v>374</v>
      </c>
      <c r="N374" s="65">
        <f>'c-16'!G66</f>
        <v>150</v>
      </c>
      <c r="O374" s="65" t="s">
        <v>374</v>
      </c>
      <c r="P374" s="65" t="s">
        <v>374</v>
      </c>
    </row>
    <row r="375" spans="1:16" ht="15.75" customHeight="1">
      <c r="A375" s="120" t="s">
        <v>120</v>
      </c>
      <c r="B375" s="26">
        <f t="shared" si="18"/>
        <v>668</v>
      </c>
      <c r="C375" s="134">
        <f>'c-10'!G86</f>
        <v>447</v>
      </c>
      <c r="D375" s="24" t="s">
        <v>374</v>
      </c>
      <c r="E375" s="117" t="s">
        <v>374</v>
      </c>
      <c r="F375" s="117" t="s">
        <v>374</v>
      </c>
      <c r="G375" s="117" t="s">
        <v>374</v>
      </c>
      <c r="H375" s="65">
        <f>'c-17'!G79</f>
        <v>164</v>
      </c>
      <c r="I375" s="64" t="s">
        <v>374</v>
      </c>
      <c r="J375" s="65">
        <f>'c-23'!G67</f>
        <v>57</v>
      </c>
      <c r="K375" s="64" t="s">
        <v>374</v>
      </c>
      <c r="L375" s="117" t="s">
        <v>374</v>
      </c>
      <c r="M375" s="117" t="s">
        <v>374</v>
      </c>
      <c r="N375" s="117" t="s">
        <v>374</v>
      </c>
      <c r="O375" s="65" t="s">
        <v>374</v>
      </c>
      <c r="P375" s="65" t="s">
        <v>374</v>
      </c>
    </row>
    <row r="376" spans="1:16" ht="15.75" customHeight="1">
      <c r="A376" s="120" t="s">
        <v>624</v>
      </c>
      <c r="B376" s="26">
        <f t="shared" si="18"/>
        <v>874</v>
      </c>
      <c r="C376" s="134">
        <f>'c-10'!G87</f>
        <v>164</v>
      </c>
      <c r="D376" s="24" t="s">
        <v>374</v>
      </c>
      <c r="E376" s="117" t="s">
        <v>374</v>
      </c>
      <c r="F376" s="117" t="s">
        <v>374</v>
      </c>
      <c r="G376" s="117" t="s">
        <v>374</v>
      </c>
      <c r="H376" s="65">
        <f>'c-17'!G80</f>
        <v>256</v>
      </c>
      <c r="I376" s="64" t="s">
        <v>374</v>
      </c>
      <c r="J376" s="65">
        <f>'c-23'!G68</f>
        <v>209</v>
      </c>
      <c r="K376" s="26">
        <f>'c-24'!G57</f>
        <v>245</v>
      </c>
      <c r="L376" s="26" t="s">
        <v>374</v>
      </c>
      <c r="M376" s="117" t="s">
        <v>374</v>
      </c>
      <c r="N376" s="65" t="s">
        <v>374</v>
      </c>
      <c r="O376" s="65" t="s">
        <v>374</v>
      </c>
      <c r="P376" s="65" t="s">
        <v>374</v>
      </c>
    </row>
    <row r="377" spans="1:16" ht="15.75" customHeight="1">
      <c r="A377" s="120" t="s">
        <v>625</v>
      </c>
      <c r="B377" s="26">
        <f t="shared" si="18"/>
        <v>1364</v>
      </c>
      <c r="C377" s="134">
        <f>'c-10'!G93</f>
        <v>92</v>
      </c>
      <c r="D377" s="24" t="s">
        <v>374</v>
      </c>
      <c r="E377" s="117" t="s">
        <v>374</v>
      </c>
      <c r="F377" s="117" t="s">
        <v>374</v>
      </c>
      <c r="G377" s="117" t="s">
        <v>374</v>
      </c>
      <c r="H377" s="65">
        <f>'c-17'!G87</f>
        <v>79</v>
      </c>
      <c r="I377" s="64" t="s">
        <v>374</v>
      </c>
      <c r="J377" s="65">
        <f>'c-23'!G72</f>
        <v>95</v>
      </c>
      <c r="K377" s="26">
        <f>'c-24'!G61</f>
        <v>31</v>
      </c>
      <c r="L377" s="26">
        <f>'c-15'!H73</f>
        <v>901</v>
      </c>
      <c r="M377" s="117" t="s">
        <v>374</v>
      </c>
      <c r="N377" s="65">
        <f>'c-16'!G72</f>
        <v>166</v>
      </c>
      <c r="O377" s="65" t="s">
        <v>374</v>
      </c>
      <c r="P377" s="65" t="s">
        <v>374</v>
      </c>
    </row>
    <row r="378" spans="1:16" ht="15.75" customHeight="1">
      <c r="A378" s="120" t="s">
        <v>626</v>
      </c>
      <c r="B378" s="26">
        <f t="shared" si="18"/>
        <v>1267</v>
      </c>
      <c r="C378" s="134">
        <f>'c-10'!G94</f>
        <v>36</v>
      </c>
      <c r="D378" s="24" t="s">
        <v>374</v>
      </c>
      <c r="E378" s="117" t="s">
        <v>374</v>
      </c>
      <c r="F378" s="117" t="s">
        <v>374</v>
      </c>
      <c r="G378" s="117" t="s">
        <v>374</v>
      </c>
      <c r="H378" s="65">
        <f>'c-17'!G88</f>
        <v>99</v>
      </c>
      <c r="I378" s="64" t="s">
        <v>374</v>
      </c>
      <c r="J378" s="65">
        <f>'c-23'!G73</f>
        <v>180</v>
      </c>
      <c r="K378" s="26">
        <f>'c-24'!G62</f>
        <v>70</v>
      </c>
      <c r="L378" s="26">
        <f>'c-15'!H74</f>
        <v>653</v>
      </c>
      <c r="M378" s="117" t="s">
        <v>374</v>
      </c>
      <c r="N378" s="65">
        <f>'c-16'!G73</f>
        <v>229</v>
      </c>
      <c r="O378" s="65" t="s">
        <v>374</v>
      </c>
      <c r="P378" s="65" t="s">
        <v>374</v>
      </c>
    </row>
    <row r="379" spans="1:16" ht="15.75" customHeight="1">
      <c r="A379" s="120" t="s">
        <v>627</v>
      </c>
      <c r="B379" s="26">
        <f t="shared" si="18"/>
        <v>2205</v>
      </c>
      <c r="C379" s="134">
        <f>'c-10'!G95</f>
        <v>324</v>
      </c>
      <c r="D379" s="24" t="s">
        <v>374</v>
      </c>
      <c r="E379" s="117" t="s">
        <v>374</v>
      </c>
      <c r="F379" s="117" t="s">
        <v>374</v>
      </c>
      <c r="G379" s="117" t="s">
        <v>374</v>
      </c>
      <c r="H379" s="65">
        <f>'c-17'!G89</f>
        <v>144</v>
      </c>
      <c r="I379" s="64" t="s">
        <v>374</v>
      </c>
      <c r="J379" s="65">
        <f>'c-23'!G74</f>
        <v>109</v>
      </c>
      <c r="K379" s="26">
        <f>'c-24'!G63</f>
        <v>87</v>
      </c>
      <c r="L379" s="26">
        <f>'c-15'!H75</f>
        <v>1541</v>
      </c>
      <c r="M379" s="117" t="s">
        <v>374</v>
      </c>
      <c r="N379" s="118" t="s">
        <v>374</v>
      </c>
      <c r="O379" s="65" t="s">
        <v>374</v>
      </c>
      <c r="P379" s="65" t="s">
        <v>374</v>
      </c>
    </row>
    <row r="380" spans="1:16" ht="15.75" customHeight="1">
      <c r="A380" s="120" t="s">
        <v>628</v>
      </c>
      <c r="B380" s="26">
        <f t="shared" si="18"/>
        <v>1181</v>
      </c>
      <c r="C380" s="134">
        <f>'c-10'!G96</f>
        <v>33</v>
      </c>
      <c r="D380" s="24" t="s">
        <v>374</v>
      </c>
      <c r="E380" s="117" t="s">
        <v>374</v>
      </c>
      <c r="F380" s="117" t="s">
        <v>374</v>
      </c>
      <c r="G380" s="117" t="s">
        <v>374</v>
      </c>
      <c r="H380" s="65">
        <f>'c-17'!G90</f>
        <v>32</v>
      </c>
      <c r="I380" s="64" t="s">
        <v>374</v>
      </c>
      <c r="J380" s="65">
        <f>'c-23'!G75</f>
        <v>55</v>
      </c>
      <c r="K380" s="26">
        <f>'c-24'!G64</f>
        <v>33</v>
      </c>
      <c r="L380" s="26">
        <f>'c-15'!H76</f>
        <v>877</v>
      </c>
      <c r="M380" s="117" t="s">
        <v>374</v>
      </c>
      <c r="N380" s="65">
        <f>'c-16'!G74</f>
        <v>151</v>
      </c>
      <c r="O380" s="65" t="s">
        <v>374</v>
      </c>
      <c r="P380" s="65" t="s">
        <v>374</v>
      </c>
    </row>
    <row r="381" spans="1:16" ht="15.75" customHeight="1">
      <c r="A381" s="120" t="s">
        <v>629</v>
      </c>
      <c r="B381" s="26">
        <f t="shared" si="18"/>
        <v>1578</v>
      </c>
      <c r="C381" s="134">
        <f>'c-10'!G97</f>
        <v>188</v>
      </c>
      <c r="D381" s="24" t="s">
        <v>374</v>
      </c>
      <c r="E381" s="117" t="s">
        <v>374</v>
      </c>
      <c r="F381" s="117" t="s">
        <v>374</v>
      </c>
      <c r="G381" s="117" t="s">
        <v>374</v>
      </c>
      <c r="H381" s="65">
        <f>'c-17'!G91</f>
        <v>120</v>
      </c>
      <c r="I381" s="64" t="s">
        <v>374</v>
      </c>
      <c r="J381" s="65">
        <f>'c-23'!G76</f>
        <v>167</v>
      </c>
      <c r="K381" s="26">
        <f>'c-24'!G65</f>
        <v>173</v>
      </c>
      <c r="L381" s="26">
        <f>'c-15'!H77</f>
        <v>742</v>
      </c>
      <c r="M381" s="117" t="s">
        <v>374</v>
      </c>
      <c r="N381" s="65">
        <f>'c-16'!G75</f>
        <v>188</v>
      </c>
      <c r="O381" s="65" t="s">
        <v>374</v>
      </c>
      <c r="P381" s="65" t="s">
        <v>374</v>
      </c>
    </row>
    <row r="382" spans="1:16" ht="15.75" customHeight="1">
      <c r="A382" s="120" t="s">
        <v>630</v>
      </c>
      <c r="B382" s="26">
        <f t="shared" si="18"/>
        <v>383</v>
      </c>
      <c r="C382" s="134">
        <f>'c-10'!G103</f>
        <v>34</v>
      </c>
      <c r="D382" s="24" t="s">
        <v>374</v>
      </c>
      <c r="E382" s="117" t="s">
        <v>374</v>
      </c>
      <c r="F382" s="117" t="s">
        <v>374</v>
      </c>
      <c r="G382" s="117" t="s">
        <v>374</v>
      </c>
      <c r="H382" s="65">
        <f>'c-17'!G98</f>
        <v>9</v>
      </c>
      <c r="I382" s="64" t="s">
        <v>374</v>
      </c>
      <c r="J382" s="65">
        <f>'c-23'!G81</f>
        <v>18</v>
      </c>
      <c r="K382" s="26">
        <f>'c-24'!G70</f>
        <v>5</v>
      </c>
      <c r="L382" s="26">
        <f>'c-15'!H81</f>
        <v>250</v>
      </c>
      <c r="M382" s="117" t="s">
        <v>374</v>
      </c>
      <c r="N382" s="65">
        <f>'c-16'!G80</f>
        <v>67</v>
      </c>
      <c r="O382" s="65" t="s">
        <v>374</v>
      </c>
      <c r="P382" s="65" t="s">
        <v>374</v>
      </c>
    </row>
    <row r="383" spans="1:16" ht="15.75" customHeight="1">
      <c r="A383" s="120" t="s">
        <v>631</v>
      </c>
      <c r="B383" s="26">
        <f t="shared" si="18"/>
        <v>3255</v>
      </c>
      <c r="C383" s="134">
        <f>'c-10'!G104</f>
        <v>218</v>
      </c>
      <c r="D383" s="24" t="s">
        <v>374</v>
      </c>
      <c r="E383" s="117" t="s">
        <v>374</v>
      </c>
      <c r="F383" s="117" t="s">
        <v>374</v>
      </c>
      <c r="G383" s="117" t="s">
        <v>374</v>
      </c>
      <c r="H383" s="65">
        <f>'c-17'!G99</f>
        <v>434</v>
      </c>
      <c r="I383" s="64" t="s">
        <v>374</v>
      </c>
      <c r="J383" s="65">
        <f>'c-23'!G82</f>
        <v>243</v>
      </c>
      <c r="K383" s="26">
        <f>'c-24'!G71</f>
        <v>114</v>
      </c>
      <c r="L383" s="26">
        <f>'c-15'!H83</f>
        <v>1650</v>
      </c>
      <c r="M383" s="117" t="s">
        <v>374</v>
      </c>
      <c r="N383" s="65">
        <f>'c-16'!G81</f>
        <v>596</v>
      </c>
      <c r="O383" s="65" t="s">
        <v>374</v>
      </c>
      <c r="P383" s="65" t="s">
        <v>374</v>
      </c>
    </row>
    <row r="384" spans="1:16" ht="15.75" customHeight="1">
      <c r="A384" s="120" t="s">
        <v>632</v>
      </c>
      <c r="B384" s="26">
        <f t="shared" si="18"/>
        <v>320</v>
      </c>
      <c r="C384" s="134">
        <f>'c-10'!G105</f>
        <v>31</v>
      </c>
      <c r="D384" s="24" t="s">
        <v>374</v>
      </c>
      <c r="E384" s="117" t="s">
        <v>374</v>
      </c>
      <c r="F384" s="117" t="s">
        <v>374</v>
      </c>
      <c r="G384" s="117" t="s">
        <v>374</v>
      </c>
      <c r="H384" s="65">
        <f>'c-17'!G100</f>
        <v>1</v>
      </c>
      <c r="I384" s="64" t="s">
        <v>374</v>
      </c>
      <c r="J384" s="65">
        <f>'c-23'!G83</f>
        <v>7</v>
      </c>
      <c r="K384" s="26">
        <f>'c-24'!G72</f>
        <v>5</v>
      </c>
      <c r="L384" s="26">
        <f>'c-15'!H84</f>
        <v>242</v>
      </c>
      <c r="M384" s="117" t="s">
        <v>374</v>
      </c>
      <c r="N384" s="65">
        <f>'c-16'!G82</f>
        <v>34</v>
      </c>
      <c r="O384" s="65" t="s">
        <v>374</v>
      </c>
      <c r="P384" s="65" t="s">
        <v>374</v>
      </c>
    </row>
    <row r="385" spans="1:20" ht="15.75" customHeight="1">
      <c r="A385" s="120" t="s">
        <v>633</v>
      </c>
      <c r="B385" s="26">
        <f t="shared" si="18"/>
        <v>1887</v>
      </c>
      <c r="C385" s="134">
        <f>'c-10'!G112</f>
        <v>38</v>
      </c>
      <c r="D385" s="24" t="s">
        <v>374</v>
      </c>
      <c r="E385" s="117" t="s">
        <v>374</v>
      </c>
      <c r="F385" s="117" t="s">
        <v>374</v>
      </c>
      <c r="G385" s="117" t="s">
        <v>374</v>
      </c>
      <c r="H385" s="65" t="s">
        <v>374</v>
      </c>
      <c r="I385" s="64" t="s">
        <v>374</v>
      </c>
      <c r="J385" s="65">
        <f>'c-23'!G88</f>
        <v>55</v>
      </c>
      <c r="K385" s="64" t="s">
        <v>374</v>
      </c>
      <c r="L385" s="26">
        <f>'c-15'!H89</f>
        <v>1507</v>
      </c>
      <c r="M385" s="117" t="s">
        <v>374</v>
      </c>
      <c r="N385" s="65">
        <f>'c-16'!G89</f>
        <v>287</v>
      </c>
      <c r="O385" s="65" t="s">
        <v>374</v>
      </c>
      <c r="P385" s="65" t="s">
        <v>374</v>
      </c>
    </row>
    <row r="386" spans="1:20" ht="15.75" customHeight="1">
      <c r="A386" s="120" t="s">
        <v>634</v>
      </c>
      <c r="B386" s="26">
        <f t="shared" si="18"/>
        <v>1105</v>
      </c>
      <c r="C386" s="134">
        <f>'c-10'!G113</f>
        <v>15</v>
      </c>
      <c r="D386" s="24" t="s">
        <v>374</v>
      </c>
      <c r="E386" s="117" t="s">
        <v>374</v>
      </c>
      <c r="F386" s="117" t="s">
        <v>374</v>
      </c>
      <c r="G386" s="117" t="s">
        <v>374</v>
      </c>
      <c r="H386" s="65" t="s">
        <v>374</v>
      </c>
      <c r="I386" s="64" t="s">
        <v>374</v>
      </c>
      <c r="J386" s="65">
        <f>'c-23'!G89</f>
        <v>47</v>
      </c>
      <c r="K386" s="64" t="s">
        <v>374</v>
      </c>
      <c r="L386" s="26">
        <f>'c-15'!H90</f>
        <v>904</v>
      </c>
      <c r="M386" s="117" t="s">
        <v>374</v>
      </c>
      <c r="N386" s="65">
        <f>'c-16'!G90</f>
        <v>139</v>
      </c>
      <c r="O386" s="65" t="s">
        <v>374</v>
      </c>
      <c r="P386" s="65" t="s">
        <v>374</v>
      </c>
    </row>
    <row r="387" spans="1:20" ht="15.75" customHeight="1">
      <c r="A387" s="120" t="s">
        <v>635</v>
      </c>
      <c r="B387" s="26">
        <f t="shared" si="18"/>
        <v>1785</v>
      </c>
      <c r="C387" s="134">
        <f>'c-10'!G114</f>
        <v>57</v>
      </c>
      <c r="D387" s="24" t="s">
        <v>374</v>
      </c>
      <c r="E387" s="117" t="s">
        <v>374</v>
      </c>
      <c r="F387" s="117" t="s">
        <v>374</v>
      </c>
      <c r="G387" s="117" t="s">
        <v>374</v>
      </c>
      <c r="H387" s="65">
        <f>'c-17'!G109</f>
        <v>155</v>
      </c>
      <c r="I387" s="64" t="s">
        <v>374</v>
      </c>
      <c r="J387" s="65">
        <f>'c-23'!G90</f>
        <v>158</v>
      </c>
      <c r="K387" s="26">
        <f>'c-24'!G77</f>
        <v>439</v>
      </c>
      <c r="L387" s="26">
        <f>'c-15'!H91</f>
        <v>684</v>
      </c>
      <c r="M387" s="117" t="s">
        <v>374</v>
      </c>
      <c r="N387" s="65">
        <f>'c-16'!G91</f>
        <v>292</v>
      </c>
      <c r="O387" s="65" t="s">
        <v>374</v>
      </c>
      <c r="P387" s="65" t="s">
        <v>374</v>
      </c>
    </row>
    <row r="388" spans="1:20" ht="15.75" customHeight="1">
      <c r="A388" s="120" t="s">
        <v>636</v>
      </c>
      <c r="B388" s="26">
        <f t="shared" si="18"/>
        <v>746</v>
      </c>
      <c r="C388" s="134">
        <f>'c-10'!G106</f>
        <v>58</v>
      </c>
      <c r="D388" s="24" t="s">
        <v>374</v>
      </c>
      <c r="E388" s="117" t="s">
        <v>374</v>
      </c>
      <c r="F388" s="117" t="s">
        <v>374</v>
      </c>
      <c r="G388" s="117" t="s">
        <v>374</v>
      </c>
      <c r="H388" s="65">
        <f>'c-17'!G101</f>
        <v>19</v>
      </c>
      <c r="I388" s="64" t="s">
        <v>374</v>
      </c>
      <c r="J388" s="65">
        <f>'c-23'!G84</f>
        <v>24</v>
      </c>
      <c r="K388" s="26">
        <f>'c-24'!G73</f>
        <v>5</v>
      </c>
      <c r="L388" s="26">
        <f>'c-15'!H85</f>
        <v>535</v>
      </c>
      <c r="M388" s="117" t="s">
        <v>374</v>
      </c>
      <c r="N388" s="65">
        <f>'c-16'!G83</f>
        <v>105</v>
      </c>
      <c r="O388" s="65" t="s">
        <v>374</v>
      </c>
      <c r="P388" s="65" t="s">
        <v>374</v>
      </c>
    </row>
    <row r="389" spans="1:20" ht="15.75" customHeight="1">
      <c r="A389" s="120" t="s">
        <v>637</v>
      </c>
      <c r="B389" s="26">
        <f t="shared" si="18"/>
        <v>744</v>
      </c>
      <c r="C389" s="134">
        <f>'c-10'!G117</f>
        <v>7</v>
      </c>
      <c r="D389" s="24" t="s">
        <v>374</v>
      </c>
      <c r="E389" s="117" t="s">
        <v>374</v>
      </c>
      <c r="F389" s="117" t="s">
        <v>374</v>
      </c>
      <c r="G389" s="117" t="s">
        <v>374</v>
      </c>
      <c r="H389" s="65">
        <f>'c-17'!G110</f>
        <v>81</v>
      </c>
      <c r="I389" s="64" t="s">
        <v>374</v>
      </c>
      <c r="J389" s="65">
        <f>'c-23'!G93</f>
        <v>44</v>
      </c>
      <c r="K389" s="26">
        <f>'c-24'!G78</f>
        <v>53</v>
      </c>
      <c r="L389" s="26">
        <f>'c-15'!H92</f>
        <v>439</v>
      </c>
      <c r="M389" s="117" t="s">
        <v>374</v>
      </c>
      <c r="N389" s="65">
        <f>'c-16'!G92</f>
        <v>120</v>
      </c>
      <c r="O389" s="65" t="s">
        <v>374</v>
      </c>
      <c r="P389" s="65" t="s">
        <v>374</v>
      </c>
    </row>
    <row r="390" spans="1:20" ht="15.75" customHeight="1">
      <c r="A390" s="120" t="s">
        <v>885</v>
      </c>
      <c r="B390" s="26">
        <f>SUM(C390:P390)</f>
        <v>257</v>
      </c>
      <c r="C390" s="134">
        <f>'c-10'!G118</f>
        <v>3</v>
      </c>
      <c r="D390" s="24" t="s">
        <v>374</v>
      </c>
      <c r="E390" s="117" t="s">
        <v>374</v>
      </c>
      <c r="F390" s="117" t="s">
        <v>374</v>
      </c>
      <c r="G390" s="117" t="s">
        <v>374</v>
      </c>
      <c r="H390" s="65">
        <f>'c-17'!G113</f>
        <v>45</v>
      </c>
      <c r="I390" s="64" t="s">
        <v>374</v>
      </c>
      <c r="J390" s="65">
        <f>'c-23'!G94</f>
        <v>1</v>
      </c>
      <c r="K390" s="26">
        <f>'c-24'!G81</f>
        <v>4</v>
      </c>
      <c r="L390" s="26">
        <f>'c-15'!H95</f>
        <v>153</v>
      </c>
      <c r="M390" s="117" t="s">
        <v>374</v>
      </c>
      <c r="N390" s="65">
        <f>'c-16'!G93</f>
        <v>51</v>
      </c>
      <c r="O390" s="65" t="s">
        <v>374</v>
      </c>
      <c r="P390" s="65" t="s">
        <v>374</v>
      </c>
    </row>
    <row r="391" spans="1:20" ht="15.75" customHeight="1">
      <c r="A391" s="120" t="s">
        <v>638</v>
      </c>
      <c r="B391" s="26">
        <f t="shared" si="18"/>
        <v>1953</v>
      </c>
      <c r="C391" s="134">
        <f>'c-10'!G115</f>
        <v>315</v>
      </c>
      <c r="D391" s="24" t="s">
        <v>374</v>
      </c>
      <c r="E391" s="117" t="s">
        <v>374</v>
      </c>
      <c r="F391" s="117" t="s">
        <v>374</v>
      </c>
      <c r="G391" s="117" t="s">
        <v>374</v>
      </c>
      <c r="H391" s="65">
        <f>'c-17'!G111</f>
        <v>274</v>
      </c>
      <c r="I391" s="64" t="s">
        <v>374</v>
      </c>
      <c r="J391" s="65">
        <f>'c-23'!G91</f>
        <v>147</v>
      </c>
      <c r="K391" s="26">
        <f>'c-24'!G79</f>
        <v>136</v>
      </c>
      <c r="L391" s="26">
        <f>'c-15'!H93</f>
        <v>1081</v>
      </c>
      <c r="M391" s="117" t="s">
        <v>374</v>
      </c>
      <c r="N391" s="118" t="s">
        <v>374</v>
      </c>
      <c r="O391" s="65" t="s">
        <v>374</v>
      </c>
      <c r="P391" s="65" t="s">
        <v>374</v>
      </c>
    </row>
    <row r="392" spans="1:20" ht="15.75" customHeight="1">
      <c r="A392" s="120" t="s">
        <v>639</v>
      </c>
      <c r="B392" s="26">
        <f t="shared" si="18"/>
        <v>1352</v>
      </c>
      <c r="C392" s="134">
        <f>'c-10'!G116</f>
        <v>32</v>
      </c>
      <c r="D392" s="24" t="s">
        <v>374</v>
      </c>
      <c r="E392" s="117" t="s">
        <v>374</v>
      </c>
      <c r="F392" s="117" t="s">
        <v>374</v>
      </c>
      <c r="G392" s="117" t="s">
        <v>374</v>
      </c>
      <c r="H392" s="65">
        <f>'c-17'!G112</f>
        <v>145</v>
      </c>
      <c r="I392" s="64"/>
      <c r="J392" s="65">
        <f>'c-23'!G92</f>
        <v>112</v>
      </c>
      <c r="K392" s="26">
        <f>'c-24'!G80</f>
        <v>83</v>
      </c>
      <c r="L392" s="26">
        <f>'c-15'!H94</f>
        <v>759</v>
      </c>
      <c r="M392" s="117" t="s">
        <v>374</v>
      </c>
      <c r="N392" s="118">
        <f>'c-16'!G88</f>
        <v>221</v>
      </c>
      <c r="O392" s="65"/>
      <c r="P392" s="65"/>
    </row>
    <row r="393" spans="1:20" ht="15.75" customHeight="1">
      <c r="A393" s="120" t="s">
        <v>640</v>
      </c>
      <c r="B393" s="26">
        <f t="shared" si="18"/>
        <v>3742</v>
      </c>
      <c r="C393" s="134">
        <f>'c-10'!G130</f>
        <v>86</v>
      </c>
      <c r="D393" s="24">
        <f>'c-11'!G49</f>
        <v>2289</v>
      </c>
      <c r="E393" s="117" t="s">
        <v>374</v>
      </c>
      <c r="F393" s="117" t="s">
        <v>374</v>
      </c>
      <c r="G393" s="117" t="s">
        <v>374</v>
      </c>
      <c r="H393" s="65">
        <f>'c-17'!G125</f>
        <v>102</v>
      </c>
      <c r="I393" s="64" t="s">
        <v>374</v>
      </c>
      <c r="J393" s="65">
        <f>'c-23'!G102</f>
        <v>133</v>
      </c>
      <c r="K393" s="26">
        <f>'c-24'!G89</f>
        <v>95</v>
      </c>
      <c r="L393" s="26">
        <f>'c-15'!H102</f>
        <v>1037</v>
      </c>
      <c r="M393" s="117" t="s">
        <v>374</v>
      </c>
      <c r="N393" s="118" t="s">
        <v>374</v>
      </c>
      <c r="O393" s="65" t="s">
        <v>374</v>
      </c>
      <c r="P393" s="65" t="s">
        <v>374</v>
      </c>
    </row>
    <row r="394" spans="1:20" ht="15.75" customHeight="1">
      <c r="A394" s="120" t="s">
        <v>641</v>
      </c>
      <c r="B394" s="26">
        <f t="shared" si="18"/>
        <v>1446</v>
      </c>
      <c r="C394" s="134">
        <f>'c-10'!G131</f>
        <v>139</v>
      </c>
      <c r="D394" s="24" t="s">
        <v>374</v>
      </c>
      <c r="E394" s="117" t="s">
        <v>374</v>
      </c>
      <c r="F394" s="117" t="s">
        <v>374</v>
      </c>
      <c r="G394" s="117" t="s">
        <v>374</v>
      </c>
      <c r="H394" s="65">
        <f>'c-17'!G126</f>
        <v>80</v>
      </c>
      <c r="I394" s="64" t="s">
        <v>374</v>
      </c>
      <c r="J394" s="65">
        <f>'c-23'!G103</f>
        <v>105</v>
      </c>
      <c r="K394" s="26">
        <f>'c-24'!G90</f>
        <v>120</v>
      </c>
      <c r="L394" s="26">
        <f>'c-15'!H103</f>
        <v>1002</v>
      </c>
      <c r="M394" s="117" t="s">
        <v>374</v>
      </c>
      <c r="N394" s="118" t="s">
        <v>374</v>
      </c>
      <c r="O394" s="65" t="s">
        <v>374</v>
      </c>
      <c r="P394" s="65" t="s">
        <v>374</v>
      </c>
    </row>
    <row r="395" spans="1:20" ht="15.75" customHeight="1">
      <c r="A395" s="120" t="s">
        <v>494</v>
      </c>
      <c r="B395" s="26">
        <f t="shared" si="18"/>
        <v>2613</v>
      </c>
      <c r="C395" s="134">
        <f>'c-10'!G132</f>
        <v>253</v>
      </c>
      <c r="D395" s="24" t="s">
        <v>374</v>
      </c>
      <c r="E395" s="117" t="s">
        <v>374</v>
      </c>
      <c r="F395" s="117" t="s">
        <v>374</v>
      </c>
      <c r="G395" s="117" t="s">
        <v>374</v>
      </c>
      <c r="H395" s="65">
        <f>'c-17'!G127</f>
        <v>155</v>
      </c>
      <c r="I395" s="64" t="s">
        <v>374</v>
      </c>
      <c r="J395" s="65">
        <f>'c-23'!G101</f>
        <v>104</v>
      </c>
      <c r="K395" s="26">
        <f>'c-24'!G88</f>
        <v>119</v>
      </c>
      <c r="L395" s="26">
        <f>'c-15'!H104</f>
        <v>1982</v>
      </c>
      <c r="M395" s="117" t="s">
        <v>374</v>
      </c>
      <c r="N395" s="118" t="s">
        <v>374</v>
      </c>
      <c r="O395" s="65" t="s">
        <v>374</v>
      </c>
      <c r="P395" s="65" t="s">
        <v>374</v>
      </c>
    </row>
    <row r="396" spans="1:20" ht="15.75" customHeight="1">
      <c r="A396" s="120" t="s">
        <v>642</v>
      </c>
      <c r="B396" s="26">
        <f t="shared" si="18"/>
        <v>1721</v>
      </c>
      <c r="C396" s="134">
        <f>'c-10'!G124</f>
        <v>66</v>
      </c>
      <c r="D396" s="24" t="s">
        <v>374</v>
      </c>
      <c r="E396" s="117" t="s">
        <v>374</v>
      </c>
      <c r="F396" s="117" t="s">
        <v>374</v>
      </c>
      <c r="G396" s="117" t="s">
        <v>374</v>
      </c>
      <c r="H396" s="65">
        <f>'c-17'!G119</f>
        <v>56</v>
      </c>
      <c r="I396" s="64" t="s">
        <v>374</v>
      </c>
      <c r="J396" s="65">
        <f>'c-23'!G98</f>
        <v>118</v>
      </c>
      <c r="K396" s="26">
        <f>'c-24'!G85</f>
        <v>48</v>
      </c>
      <c r="L396" s="26">
        <f>'c-15'!H99</f>
        <v>1433</v>
      </c>
      <c r="M396" s="117" t="s">
        <v>374</v>
      </c>
      <c r="N396" s="118" t="s">
        <v>374</v>
      </c>
      <c r="O396" s="65" t="s">
        <v>374</v>
      </c>
      <c r="P396" s="65" t="s">
        <v>374</v>
      </c>
    </row>
    <row r="397" spans="1:20" ht="15.75" customHeight="1">
      <c r="A397" s="120" t="s">
        <v>643</v>
      </c>
      <c r="B397" s="26">
        <f t="shared" si="18"/>
        <v>1461</v>
      </c>
      <c r="C397" s="134">
        <f>'c-10'!G133</f>
        <v>39</v>
      </c>
      <c r="D397" s="24" t="s">
        <v>374</v>
      </c>
      <c r="E397" s="117" t="s">
        <v>374</v>
      </c>
      <c r="F397" s="117" t="s">
        <v>374</v>
      </c>
      <c r="G397" s="117" t="s">
        <v>374</v>
      </c>
      <c r="H397" s="65">
        <f>'c-17'!G128</f>
        <v>30</v>
      </c>
      <c r="I397" s="64" t="s">
        <v>374</v>
      </c>
      <c r="J397" s="65">
        <f>'c-23'!G104</f>
        <v>76</v>
      </c>
      <c r="K397" s="26">
        <f>'c-24'!G91</f>
        <v>40</v>
      </c>
      <c r="L397" s="26">
        <f>'c-15'!H105</f>
        <v>979</v>
      </c>
      <c r="M397" s="117" t="s">
        <v>374</v>
      </c>
      <c r="N397" s="65">
        <f>'c-16'!G103</f>
        <v>297</v>
      </c>
      <c r="O397" s="65" t="s">
        <v>374</v>
      </c>
      <c r="P397" s="65" t="s">
        <v>374</v>
      </c>
    </row>
    <row r="398" spans="1:20" ht="15.75" customHeight="1">
      <c r="A398" s="120" t="s">
        <v>888</v>
      </c>
      <c r="B398" s="26">
        <f>SUM(C398:P398)</f>
        <v>693</v>
      </c>
      <c r="C398" s="134">
        <f>'c-10'!G134</f>
        <v>8</v>
      </c>
      <c r="D398" s="24" t="s">
        <v>374</v>
      </c>
      <c r="E398" s="117" t="s">
        <v>374</v>
      </c>
      <c r="F398" s="117" t="s">
        <v>374</v>
      </c>
      <c r="G398" s="117" t="s">
        <v>374</v>
      </c>
      <c r="H398" s="65">
        <f>'c-17'!G129</f>
        <v>16</v>
      </c>
      <c r="I398" s="64" t="s">
        <v>374</v>
      </c>
      <c r="J398" s="65">
        <f>'c-23'!G105</f>
        <v>38</v>
      </c>
      <c r="K398" s="26">
        <f>'c-24'!G92</f>
        <v>19</v>
      </c>
      <c r="L398" s="26">
        <f>'c-15'!H106</f>
        <v>496</v>
      </c>
      <c r="M398" s="117" t="s">
        <v>374</v>
      </c>
      <c r="N398" s="65">
        <f>'c-16'!G104</f>
        <v>116</v>
      </c>
      <c r="O398" s="65" t="s">
        <v>374</v>
      </c>
      <c r="P398" s="65" t="s">
        <v>374</v>
      </c>
    </row>
    <row r="399" spans="1:20" s="91" customFormat="1" ht="15.75" customHeight="1">
      <c r="A399" s="120" t="s">
        <v>644</v>
      </c>
      <c r="B399" s="26">
        <f t="shared" si="18"/>
        <v>2116</v>
      </c>
      <c r="C399" s="134">
        <f>'c-10'!G139</f>
        <v>14</v>
      </c>
      <c r="D399" s="24" t="s">
        <v>374</v>
      </c>
      <c r="E399" s="117" t="s">
        <v>374</v>
      </c>
      <c r="F399" s="117" t="s">
        <v>374</v>
      </c>
      <c r="G399" s="117" t="s">
        <v>374</v>
      </c>
      <c r="H399" s="65">
        <f>'c-17'!G134</f>
        <v>89</v>
      </c>
      <c r="I399" s="64" t="s">
        <v>374</v>
      </c>
      <c r="J399" s="65">
        <f>'c-23'!G109</f>
        <v>257</v>
      </c>
      <c r="K399" s="24">
        <f>'c-24'!G96</f>
        <v>112</v>
      </c>
      <c r="L399" s="26">
        <f>'c-15'!H110</f>
        <v>1058</v>
      </c>
      <c r="M399" s="117" t="s">
        <v>374</v>
      </c>
      <c r="N399" s="65">
        <f>'c-16'!G108</f>
        <v>586</v>
      </c>
      <c r="O399" s="65" t="s">
        <v>374</v>
      </c>
      <c r="P399" s="65" t="s">
        <v>374</v>
      </c>
      <c r="S399" s="35"/>
      <c r="T399" s="35"/>
    </row>
    <row r="400" spans="1:20" ht="15.75" customHeight="1">
      <c r="A400" s="120" t="s">
        <v>645</v>
      </c>
      <c r="B400" s="26">
        <f t="shared" si="18"/>
        <v>3175</v>
      </c>
      <c r="C400" s="134">
        <f>'c-10'!G140</f>
        <v>72</v>
      </c>
      <c r="D400" s="24" t="s">
        <v>374</v>
      </c>
      <c r="E400" s="117" t="s">
        <v>374</v>
      </c>
      <c r="F400" s="117" t="s">
        <v>374</v>
      </c>
      <c r="G400" s="117" t="s">
        <v>374</v>
      </c>
      <c r="H400" s="65">
        <f>'c-17'!G135</f>
        <v>115</v>
      </c>
      <c r="I400" s="64" t="s">
        <v>374</v>
      </c>
      <c r="J400" s="65">
        <f>'c-23'!G110</f>
        <v>312</v>
      </c>
      <c r="K400" s="64" t="s">
        <v>374</v>
      </c>
      <c r="L400" s="26">
        <f>'c-15'!H111</f>
        <v>2063</v>
      </c>
      <c r="M400" s="117" t="s">
        <v>374</v>
      </c>
      <c r="N400" s="65">
        <f>'c-16'!G109</f>
        <v>613</v>
      </c>
      <c r="O400" s="65" t="s">
        <v>374</v>
      </c>
      <c r="P400" s="65" t="s">
        <v>374</v>
      </c>
    </row>
    <row r="401" spans="1:16" ht="15.75" customHeight="1">
      <c r="A401" s="120" t="s">
        <v>646</v>
      </c>
      <c r="B401" s="26">
        <f t="shared" si="18"/>
        <v>2345</v>
      </c>
      <c r="C401" s="134">
        <f>'c-10'!G145</f>
        <v>70</v>
      </c>
      <c r="D401" s="24" t="s">
        <v>374</v>
      </c>
      <c r="E401" s="117" t="s">
        <v>374</v>
      </c>
      <c r="F401" s="117" t="s">
        <v>374</v>
      </c>
      <c r="G401" s="117" t="s">
        <v>374</v>
      </c>
      <c r="H401" s="65">
        <f>'c-17'!G140</f>
        <v>133</v>
      </c>
      <c r="I401" s="64" t="s">
        <v>374</v>
      </c>
      <c r="J401" s="65">
        <f>'c-23'!G114</f>
        <v>248</v>
      </c>
      <c r="K401" s="64" t="s">
        <v>374</v>
      </c>
      <c r="L401" s="26">
        <f>'c-15'!H115</f>
        <v>1583</v>
      </c>
      <c r="M401" s="117" t="s">
        <v>374</v>
      </c>
      <c r="N401" s="65">
        <f>'c-16'!G114</f>
        <v>311</v>
      </c>
      <c r="O401" s="65" t="s">
        <v>374</v>
      </c>
      <c r="P401" s="65" t="s">
        <v>374</v>
      </c>
    </row>
    <row r="402" spans="1:16" ht="15.75" customHeight="1">
      <c r="A402" s="120" t="s">
        <v>481</v>
      </c>
      <c r="B402" s="26">
        <f t="shared" si="18"/>
        <v>566</v>
      </c>
      <c r="C402" s="134">
        <f>'c-10'!G146</f>
        <v>110</v>
      </c>
      <c r="D402" s="24" t="s">
        <v>374</v>
      </c>
      <c r="E402" s="117" t="s">
        <v>374</v>
      </c>
      <c r="F402" s="117" t="s">
        <v>374</v>
      </c>
      <c r="G402" s="117" t="s">
        <v>374</v>
      </c>
      <c r="H402" s="65">
        <f>'c-17'!G141</f>
        <v>190</v>
      </c>
      <c r="I402" s="64" t="s">
        <v>374</v>
      </c>
      <c r="J402" s="65">
        <f>'c-23'!G115</f>
        <v>266</v>
      </c>
      <c r="K402" s="64" t="s">
        <v>374</v>
      </c>
      <c r="L402" s="117" t="s">
        <v>374</v>
      </c>
      <c r="M402" s="117" t="s">
        <v>374</v>
      </c>
      <c r="N402" s="117" t="s">
        <v>374</v>
      </c>
      <c r="O402" s="65" t="s">
        <v>374</v>
      </c>
      <c r="P402" s="65" t="s">
        <v>374</v>
      </c>
    </row>
    <row r="403" spans="1:16" ht="15.75" customHeight="1">
      <c r="A403" s="120"/>
      <c r="B403" s="64"/>
      <c r="C403" s="24"/>
      <c r="D403" s="121"/>
      <c r="E403" s="117"/>
      <c r="F403" s="117"/>
      <c r="G403" s="117"/>
      <c r="H403" s="141"/>
      <c r="I403" s="64"/>
      <c r="J403" s="121"/>
      <c r="K403" s="117"/>
      <c r="L403" s="117"/>
      <c r="M403" s="117"/>
      <c r="N403" s="141"/>
      <c r="O403" s="65"/>
      <c r="P403" s="65"/>
    </row>
    <row r="404" spans="1:16" ht="15.75" customHeight="1">
      <c r="A404" s="106" t="s">
        <v>647</v>
      </c>
      <c r="B404" s="122">
        <f>SUM(B406:B408)</f>
        <v>15495</v>
      </c>
      <c r="C404" s="122">
        <f>SUM(C406:C408)</f>
        <v>568</v>
      </c>
      <c r="D404" s="122">
        <f>SUM(D406:D408)</f>
        <v>13202</v>
      </c>
      <c r="E404" s="122" t="str">
        <f>+E407</f>
        <v>-</v>
      </c>
      <c r="F404" s="122" t="str">
        <f>+F407</f>
        <v>-</v>
      </c>
      <c r="G404" s="122" t="str">
        <f>+G407</f>
        <v>-</v>
      </c>
      <c r="H404" s="142">
        <f>SUM(H406:H408)</f>
        <v>749</v>
      </c>
      <c r="I404" s="122" t="str">
        <f>+I407</f>
        <v>-</v>
      </c>
      <c r="J404" s="122" t="str">
        <f>+J407</f>
        <v>-</v>
      </c>
      <c r="K404" s="122">
        <f>SUM(K406:K408)</f>
        <v>976</v>
      </c>
      <c r="L404" s="122" t="str">
        <f>+L407</f>
        <v>-</v>
      </c>
      <c r="M404" s="122" t="str">
        <f>+M407</f>
        <v>-</v>
      </c>
      <c r="N404" s="122" t="str">
        <f>+N407</f>
        <v>-</v>
      </c>
      <c r="O404" s="142" t="str">
        <f>+O407</f>
        <v>-</v>
      </c>
      <c r="P404" s="142" t="str">
        <f>+P407</f>
        <v>-</v>
      </c>
    </row>
    <row r="405" spans="1:16" ht="15.75" customHeight="1">
      <c r="A405" s="120"/>
      <c r="B405" s="64"/>
      <c r="C405" s="24"/>
      <c r="D405" s="121"/>
      <c r="E405" s="117"/>
      <c r="F405" s="117"/>
      <c r="G405" s="117"/>
      <c r="H405" s="121"/>
      <c r="I405" s="117"/>
      <c r="J405" s="121"/>
      <c r="K405" s="117"/>
      <c r="L405" s="117"/>
      <c r="M405" s="117"/>
      <c r="N405" s="141"/>
      <c r="O405" s="65"/>
      <c r="P405" s="65"/>
    </row>
    <row r="406" spans="1:16" ht="15.75" customHeight="1">
      <c r="A406" s="120" t="s">
        <v>648</v>
      </c>
      <c r="B406" s="26">
        <f>SUM(C406:P406)</f>
        <v>6282</v>
      </c>
      <c r="C406" s="24">
        <f>'c-10'!G92</f>
        <v>258</v>
      </c>
      <c r="D406" s="121">
        <f>'c-11'!G37</f>
        <v>4879</v>
      </c>
      <c r="E406" s="117" t="s">
        <v>374</v>
      </c>
      <c r="F406" s="117" t="s">
        <v>374</v>
      </c>
      <c r="G406" s="117" t="s">
        <v>374</v>
      </c>
      <c r="H406" s="117">
        <f>'c-17'!G86</f>
        <v>506</v>
      </c>
      <c r="I406" s="117" t="s">
        <v>374</v>
      </c>
      <c r="J406" s="117" t="s">
        <v>374</v>
      </c>
      <c r="K406" s="51">
        <f>'c-24'!G60</f>
        <v>639</v>
      </c>
      <c r="L406" s="117" t="s">
        <v>374</v>
      </c>
      <c r="M406" s="117" t="s">
        <v>374</v>
      </c>
      <c r="N406" s="117" t="s">
        <v>374</v>
      </c>
      <c r="O406" s="118" t="s">
        <v>374</v>
      </c>
      <c r="P406" s="66" t="s">
        <v>374</v>
      </c>
    </row>
    <row r="407" spans="1:16" ht="15.75" customHeight="1">
      <c r="A407" s="120" t="s">
        <v>649</v>
      </c>
      <c r="B407" s="26">
        <f>SUM(C407:P407)</f>
        <v>740</v>
      </c>
      <c r="C407" s="24">
        <f>'c-10'!G102</f>
        <v>310</v>
      </c>
      <c r="D407" s="121" t="s">
        <v>374</v>
      </c>
      <c r="E407" s="117" t="s">
        <v>374</v>
      </c>
      <c r="F407" s="117" t="s">
        <v>374</v>
      </c>
      <c r="G407" s="117" t="s">
        <v>374</v>
      </c>
      <c r="H407" s="24">
        <f>'c-17'!G97</f>
        <v>243</v>
      </c>
      <c r="I407" s="117" t="s">
        <v>374</v>
      </c>
      <c r="J407" s="117" t="s">
        <v>374</v>
      </c>
      <c r="K407" s="117">
        <f>'c-24'!G68</f>
        <v>187</v>
      </c>
      <c r="L407" s="117" t="s">
        <v>374</v>
      </c>
      <c r="M407" s="117" t="s">
        <v>374</v>
      </c>
      <c r="N407" s="117" t="s">
        <v>374</v>
      </c>
      <c r="O407" s="65" t="s">
        <v>374</v>
      </c>
      <c r="P407" s="65" t="s">
        <v>374</v>
      </c>
    </row>
    <row r="408" spans="1:16" ht="15.75" customHeight="1">
      <c r="A408" s="120" t="s">
        <v>500</v>
      </c>
      <c r="B408" s="26">
        <f>SUM(C408:P408)</f>
        <v>8473</v>
      </c>
      <c r="C408" s="53" t="s">
        <v>374</v>
      </c>
      <c r="D408" s="26">
        <f>'c-11'!G40</f>
        <v>8323</v>
      </c>
      <c r="E408" s="64" t="s">
        <v>374</v>
      </c>
      <c r="F408" s="117" t="s">
        <v>374</v>
      </c>
      <c r="G408" s="117" t="s">
        <v>374</v>
      </c>
      <c r="H408" s="117" t="s">
        <v>374</v>
      </c>
      <c r="I408" s="117" t="s">
        <v>374</v>
      </c>
      <c r="J408" s="117" t="s">
        <v>374</v>
      </c>
      <c r="K408" s="21">
        <f>'c-24'!G69</f>
        <v>150</v>
      </c>
      <c r="L408" s="64" t="s">
        <v>374</v>
      </c>
      <c r="M408" s="117" t="s">
        <v>374</v>
      </c>
      <c r="N408" s="117" t="s">
        <v>374</v>
      </c>
      <c r="O408" s="118" t="s">
        <v>374</v>
      </c>
      <c r="P408" s="66" t="s">
        <v>374</v>
      </c>
    </row>
    <row r="409" spans="1:16" ht="15.75" customHeight="1">
      <c r="A409" s="113"/>
      <c r="B409" s="26"/>
      <c r="C409" s="26"/>
      <c r="D409" s="51"/>
      <c r="E409" s="117"/>
      <c r="F409" s="51"/>
      <c r="G409" s="117"/>
      <c r="H409" s="51"/>
      <c r="I409" s="117"/>
      <c r="J409" s="51"/>
      <c r="K409" s="51"/>
      <c r="L409" s="117"/>
      <c r="M409" s="51"/>
      <c r="N409" s="21"/>
      <c r="O409" s="65"/>
      <c r="P409" s="65"/>
    </row>
    <row r="410" spans="1:16" ht="15.75" customHeight="1">
      <c r="A410" s="106" t="s">
        <v>650</v>
      </c>
      <c r="B410" s="62">
        <f>SUM(B412:B478)</f>
        <v>48720</v>
      </c>
      <c r="C410" s="97" t="s">
        <v>374</v>
      </c>
      <c r="D410" s="97" t="s">
        <v>374</v>
      </c>
      <c r="E410" s="97" t="s">
        <v>374</v>
      </c>
      <c r="F410" s="97" t="s">
        <v>374</v>
      </c>
      <c r="G410" s="97" t="s">
        <v>374</v>
      </c>
      <c r="H410" s="97" t="s">
        <v>374</v>
      </c>
      <c r="I410" s="62">
        <f>SUM(I412:I480)</f>
        <v>47630</v>
      </c>
      <c r="J410" s="97" t="s">
        <v>374</v>
      </c>
      <c r="K410" s="97" t="s">
        <v>374</v>
      </c>
      <c r="L410" s="97" t="s">
        <v>374</v>
      </c>
      <c r="M410" s="62">
        <f>SUM(M412:P480)</f>
        <v>1249</v>
      </c>
      <c r="N410" s="98" t="s">
        <v>374</v>
      </c>
      <c r="O410" s="112" t="s">
        <v>374</v>
      </c>
      <c r="P410" s="112" t="s">
        <v>374</v>
      </c>
    </row>
    <row r="411" spans="1:16" ht="15.75" customHeight="1">
      <c r="A411" s="120"/>
      <c r="B411" s="64"/>
      <c r="C411" s="117"/>
      <c r="D411" s="117"/>
      <c r="E411" s="117"/>
      <c r="F411" s="117"/>
      <c r="G411" s="117"/>
      <c r="H411" s="117"/>
      <c r="I411" s="50"/>
      <c r="J411" s="117"/>
      <c r="K411" s="117"/>
      <c r="L411" s="117"/>
      <c r="M411" s="117"/>
      <c r="N411" s="118"/>
      <c r="O411" s="65"/>
      <c r="P411" s="65"/>
    </row>
    <row r="412" spans="1:16" ht="15.75" customHeight="1">
      <c r="A412" s="120" t="s">
        <v>1019</v>
      </c>
      <c r="B412" s="26">
        <f t="shared" ref="B412:B480" si="19">SUM(C412:P412)</f>
        <v>1753</v>
      </c>
      <c r="C412" s="117" t="s">
        <v>374</v>
      </c>
      <c r="D412" s="117" t="s">
        <v>374</v>
      </c>
      <c r="E412" s="117" t="s">
        <v>374</v>
      </c>
      <c r="F412" s="117" t="s">
        <v>374</v>
      </c>
      <c r="G412" s="117" t="s">
        <v>374</v>
      </c>
      <c r="H412" s="117" t="s">
        <v>374</v>
      </c>
      <c r="I412" s="24">
        <f>'c-18'!G12</f>
        <v>1753</v>
      </c>
      <c r="J412" s="117" t="s">
        <v>374</v>
      </c>
      <c r="K412" s="117" t="s">
        <v>374</v>
      </c>
      <c r="L412" s="117" t="s">
        <v>374</v>
      </c>
      <c r="M412" s="117" t="s">
        <v>374</v>
      </c>
      <c r="N412" s="118" t="s">
        <v>374</v>
      </c>
      <c r="O412" s="65" t="s">
        <v>374</v>
      </c>
      <c r="P412" s="65" t="s">
        <v>374</v>
      </c>
    </row>
    <row r="413" spans="1:16" ht="15.75" customHeight="1">
      <c r="A413" s="120" t="s">
        <v>1020</v>
      </c>
      <c r="B413" s="26">
        <f t="shared" si="19"/>
        <v>1827</v>
      </c>
      <c r="C413" s="117" t="s">
        <v>374</v>
      </c>
      <c r="D413" s="117" t="s">
        <v>374</v>
      </c>
      <c r="E413" s="117" t="s">
        <v>374</v>
      </c>
      <c r="F413" s="117" t="s">
        <v>374</v>
      </c>
      <c r="G413" s="117" t="s">
        <v>374</v>
      </c>
      <c r="H413" s="117" t="s">
        <v>374</v>
      </c>
      <c r="I413" s="24">
        <f>'c-18'!G13</f>
        <v>1827</v>
      </c>
      <c r="J413" s="117" t="s">
        <v>374</v>
      </c>
      <c r="K413" s="117" t="s">
        <v>374</v>
      </c>
      <c r="L413" s="117" t="s">
        <v>374</v>
      </c>
      <c r="M413" s="117" t="s">
        <v>374</v>
      </c>
      <c r="N413" s="118" t="s">
        <v>374</v>
      </c>
      <c r="O413" s="65" t="s">
        <v>374</v>
      </c>
      <c r="P413" s="65" t="s">
        <v>374</v>
      </c>
    </row>
    <row r="414" spans="1:16" ht="15.75" customHeight="1">
      <c r="A414" s="120" t="s">
        <v>1021</v>
      </c>
      <c r="B414" s="26">
        <f t="shared" si="19"/>
        <v>2036</v>
      </c>
      <c r="C414" s="117" t="s">
        <v>374</v>
      </c>
      <c r="D414" s="117" t="s">
        <v>374</v>
      </c>
      <c r="E414" s="117" t="s">
        <v>374</v>
      </c>
      <c r="F414" s="117" t="s">
        <v>374</v>
      </c>
      <c r="G414" s="117" t="s">
        <v>374</v>
      </c>
      <c r="H414" s="117" t="s">
        <v>374</v>
      </c>
      <c r="I414" s="24">
        <f>'c-18'!G14</f>
        <v>2036</v>
      </c>
      <c r="J414" s="117" t="s">
        <v>374</v>
      </c>
      <c r="K414" s="117" t="s">
        <v>374</v>
      </c>
      <c r="L414" s="117" t="s">
        <v>374</v>
      </c>
      <c r="M414" s="117" t="s">
        <v>374</v>
      </c>
      <c r="N414" s="118" t="s">
        <v>374</v>
      </c>
      <c r="O414" s="65" t="s">
        <v>374</v>
      </c>
      <c r="P414" s="65" t="s">
        <v>374</v>
      </c>
    </row>
    <row r="415" spans="1:16" ht="15.75" customHeight="1">
      <c r="A415" s="120" t="s">
        <v>1022</v>
      </c>
      <c r="B415" s="26">
        <f t="shared" si="19"/>
        <v>69</v>
      </c>
      <c r="C415" s="117" t="s">
        <v>374</v>
      </c>
      <c r="D415" s="117" t="s">
        <v>374</v>
      </c>
      <c r="E415" s="117" t="s">
        <v>374</v>
      </c>
      <c r="F415" s="117" t="s">
        <v>374</v>
      </c>
      <c r="G415" s="117" t="s">
        <v>374</v>
      </c>
      <c r="H415" s="117" t="s">
        <v>374</v>
      </c>
      <c r="I415" s="24">
        <f>'c-18'!G15</f>
        <v>69</v>
      </c>
      <c r="J415" s="117" t="s">
        <v>374</v>
      </c>
      <c r="K415" s="117" t="s">
        <v>374</v>
      </c>
      <c r="L415" s="117" t="s">
        <v>374</v>
      </c>
      <c r="M415" s="117" t="s">
        <v>374</v>
      </c>
      <c r="N415" s="118" t="s">
        <v>374</v>
      </c>
      <c r="O415" s="65" t="s">
        <v>374</v>
      </c>
      <c r="P415" s="65" t="s">
        <v>374</v>
      </c>
    </row>
    <row r="416" spans="1:16" ht="15.75" customHeight="1">
      <c r="A416" s="120" t="s">
        <v>1023</v>
      </c>
      <c r="B416" s="26">
        <f t="shared" si="19"/>
        <v>201</v>
      </c>
      <c r="C416" s="117" t="s">
        <v>374</v>
      </c>
      <c r="D416" s="117" t="s">
        <v>374</v>
      </c>
      <c r="E416" s="117" t="s">
        <v>374</v>
      </c>
      <c r="F416" s="117" t="s">
        <v>374</v>
      </c>
      <c r="G416" s="117" t="s">
        <v>374</v>
      </c>
      <c r="H416" s="117" t="s">
        <v>374</v>
      </c>
      <c r="I416" s="24">
        <f>'c-18'!G16</f>
        <v>201</v>
      </c>
      <c r="J416" s="117" t="s">
        <v>374</v>
      </c>
      <c r="K416" s="117" t="s">
        <v>374</v>
      </c>
      <c r="L416" s="117" t="s">
        <v>374</v>
      </c>
      <c r="M416" s="117" t="s">
        <v>374</v>
      </c>
      <c r="N416" s="118" t="s">
        <v>374</v>
      </c>
      <c r="O416" s="65" t="s">
        <v>374</v>
      </c>
      <c r="P416" s="65" t="s">
        <v>374</v>
      </c>
    </row>
    <row r="417" spans="1:16" ht="15.75" customHeight="1">
      <c r="A417" s="116" t="s">
        <v>1024</v>
      </c>
      <c r="B417" s="26">
        <f t="shared" si="19"/>
        <v>125</v>
      </c>
      <c r="C417" s="117" t="s">
        <v>374</v>
      </c>
      <c r="D417" s="117" t="s">
        <v>374</v>
      </c>
      <c r="E417" s="117" t="s">
        <v>374</v>
      </c>
      <c r="F417" s="117" t="s">
        <v>374</v>
      </c>
      <c r="G417" s="117" t="s">
        <v>374</v>
      </c>
      <c r="H417" s="117" t="s">
        <v>374</v>
      </c>
      <c r="I417" s="24">
        <f>'c-18'!G17</f>
        <v>125</v>
      </c>
      <c r="J417" s="117" t="s">
        <v>374</v>
      </c>
      <c r="K417" s="117" t="s">
        <v>374</v>
      </c>
      <c r="L417" s="117" t="s">
        <v>374</v>
      </c>
      <c r="M417" s="117" t="s">
        <v>374</v>
      </c>
      <c r="N417" s="117" t="s">
        <v>374</v>
      </c>
      <c r="O417" s="117" t="s">
        <v>374</v>
      </c>
      <c r="P417" s="65" t="s">
        <v>374</v>
      </c>
    </row>
    <row r="418" spans="1:16" ht="15.75" customHeight="1">
      <c r="A418" s="116" t="s">
        <v>1025</v>
      </c>
      <c r="B418" s="26">
        <f t="shared" si="19"/>
        <v>78</v>
      </c>
      <c r="C418" s="117" t="s">
        <v>374</v>
      </c>
      <c r="D418" s="117" t="s">
        <v>374</v>
      </c>
      <c r="E418" s="117" t="s">
        <v>374</v>
      </c>
      <c r="F418" s="117" t="s">
        <v>374</v>
      </c>
      <c r="G418" s="117" t="s">
        <v>374</v>
      </c>
      <c r="H418" s="117" t="s">
        <v>1038</v>
      </c>
      <c r="I418" s="24">
        <f>'c-18'!G18</f>
        <v>78</v>
      </c>
      <c r="J418" s="117" t="s">
        <v>374</v>
      </c>
      <c r="K418" s="117" t="s">
        <v>374</v>
      </c>
      <c r="L418" s="117" t="s">
        <v>374</v>
      </c>
      <c r="M418" s="117" t="s">
        <v>374</v>
      </c>
      <c r="N418" s="117" t="s">
        <v>374</v>
      </c>
      <c r="O418" s="117" t="s">
        <v>374</v>
      </c>
      <c r="P418" s="65" t="s">
        <v>374</v>
      </c>
    </row>
    <row r="419" spans="1:16" ht="15.75" customHeight="1">
      <c r="A419" s="116" t="s">
        <v>1026</v>
      </c>
      <c r="B419" s="26">
        <f t="shared" si="19"/>
        <v>1314</v>
      </c>
      <c r="C419" s="117" t="s">
        <v>374</v>
      </c>
      <c r="D419" s="117" t="s">
        <v>374</v>
      </c>
      <c r="E419" s="117" t="s">
        <v>374</v>
      </c>
      <c r="F419" s="117" t="s">
        <v>374</v>
      </c>
      <c r="G419" s="117" t="s">
        <v>374</v>
      </c>
      <c r="H419" s="117" t="s">
        <v>1038</v>
      </c>
      <c r="I419" s="24">
        <f>'c-18'!G19</f>
        <v>1314</v>
      </c>
      <c r="J419" s="117" t="s">
        <v>374</v>
      </c>
      <c r="K419" s="117" t="s">
        <v>374</v>
      </c>
      <c r="L419" s="117" t="s">
        <v>374</v>
      </c>
      <c r="M419" s="117" t="s">
        <v>374</v>
      </c>
      <c r="N419" s="117" t="s">
        <v>374</v>
      </c>
      <c r="O419" s="117" t="s">
        <v>374</v>
      </c>
      <c r="P419" s="65" t="s">
        <v>374</v>
      </c>
    </row>
    <row r="420" spans="1:16" ht="15.75" customHeight="1">
      <c r="A420" s="116" t="s">
        <v>1027</v>
      </c>
      <c r="B420" s="26">
        <f t="shared" si="19"/>
        <v>320</v>
      </c>
      <c r="C420" s="117" t="s">
        <v>374</v>
      </c>
      <c r="D420" s="117" t="s">
        <v>374</v>
      </c>
      <c r="E420" s="117" t="s">
        <v>374</v>
      </c>
      <c r="F420" s="117" t="s">
        <v>374</v>
      </c>
      <c r="G420" s="117" t="s">
        <v>374</v>
      </c>
      <c r="H420" s="117" t="s">
        <v>1038</v>
      </c>
      <c r="I420" s="24">
        <f>'c-18'!G20</f>
        <v>320</v>
      </c>
      <c r="J420" s="117" t="s">
        <v>374</v>
      </c>
      <c r="K420" s="117" t="s">
        <v>374</v>
      </c>
      <c r="L420" s="117" t="s">
        <v>374</v>
      </c>
      <c r="M420" s="117" t="s">
        <v>374</v>
      </c>
      <c r="N420" s="117" t="s">
        <v>374</v>
      </c>
      <c r="O420" s="117" t="s">
        <v>374</v>
      </c>
      <c r="P420" s="65" t="s">
        <v>374</v>
      </c>
    </row>
    <row r="421" spans="1:16" ht="15.75" customHeight="1">
      <c r="A421" s="116" t="s">
        <v>1028</v>
      </c>
      <c r="B421" s="26">
        <f t="shared" si="19"/>
        <v>59</v>
      </c>
      <c r="C421" s="117" t="s">
        <v>374</v>
      </c>
      <c r="D421" s="117" t="s">
        <v>374</v>
      </c>
      <c r="E421" s="117" t="s">
        <v>374</v>
      </c>
      <c r="F421" s="117" t="s">
        <v>374</v>
      </c>
      <c r="G421" s="117" t="s">
        <v>374</v>
      </c>
      <c r="H421" s="117" t="s">
        <v>1038</v>
      </c>
      <c r="I421" s="24">
        <f>'c-18'!G21</f>
        <v>59</v>
      </c>
      <c r="J421" s="117" t="s">
        <v>374</v>
      </c>
      <c r="K421" s="117" t="s">
        <v>374</v>
      </c>
      <c r="L421" s="117" t="s">
        <v>374</v>
      </c>
      <c r="M421" s="117" t="s">
        <v>374</v>
      </c>
      <c r="N421" s="117" t="s">
        <v>374</v>
      </c>
      <c r="O421" s="117" t="s">
        <v>374</v>
      </c>
      <c r="P421" s="65" t="s">
        <v>374</v>
      </c>
    </row>
    <row r="422" spans="1:16" ht="15.75" customHeight="1">
      <c r="A422" s="116" t="s">
        <v>1029</v>
      </c>
      <c r="B422" s="26">
        <f t="shared" si="19"/>
        <v>30</v>
      </c>
      <c r="C422" s="117" t="s">
        <v>374</v>
      </c>
      <c r="D422" s="117" t="s">
        <v>374</v>
      </c>
      <c r="E422" s="117" t="s">
        <v>374</v>
      </c>
      <c r="F422" s="117" t="s">
        <v>374</v>
      </c>
      <c r="G422" s="117" t="s">
        <v>374</v>
      </c>
      <c r="H422" s="117" t="s">
        <v>1038</v>
      </c>
      <c r="I422" s="24">
        <f>'c-18'!G22</f>
        <v>30</v>
      </c>
      <c r="J422" s="117" t="s">
        <v>374</v>
      </c>
      <c r="K422" s="117" t="s">
        <v>374</v>
      </c>
      <c r="L422" s="117" t="s">
        <v>374</v>
      </c>
      <c r="M422" s="117" t="s">
        <v>374</v>
      </c>
      <c r="N422" s="117" t="s">
        <v>374</v>
      </c>
      <c r="O422" s="117" t="s">
        <v>374</v>
      </c>
      <c r="P422" s="65" t="s">
        <v>374</v>
      </c>
    </row>
    <row r="423" spans="1:16" ht="15.75" customHeight="1">
      <c r="A423" s="116" t="s">
        <v>1030</v>
      </c>
      <c r="B423" s="26">
        <f t="shared" si="19"/>
        <v>472</v>
      </c>
      <c r="C423" s="117" t="s">
        <v>374</v>
      </c>
      <c r="D423" s="117" t="s">
        <v>374</v>
      </c>
      <c r="E423" s="117" t="s">
        <v>374</v>
      </c>
      <c r="F423" s="117" t="s">
        <v>374</v>
      </c>
      <c r="G423" s="117" t="s">
        <v>374</v>
      </c>
      <c r="H423" s="117" t="s">
        <v>1038</v>
      </c>
      <c r="I423" s="24">
        <f>'c-18'!G23</f>
        <v>464</v>
      </c>
      <c r="J423" s="117" t="s">
        <v>374</v>
      </c>
      <c r="K423" s="117" t="s">
        <v>374</v>
      </c>
      <c r="L423" s="117" t="s">
        <v>374</v>
      </c>
      <c r="M423" s="117">
        <f>'c-21'!G13</f>
        <v>8</v>
      </c>
      <c r="N423" s="117" t="s">
        <v>374</v>
      </c>
      <c r="O423" s="117" t="s">
        <v>374</v>
      </c>
      <c r="P423" s="65" t="s">
        <v>374</v>
      </c>
    </row>
    <row r="424" spans="1:16" ht="15.75" customHeight="1">
      <c r="A424" s="120" t="s">
        <v>470</v>
      </c>
      <c r="B424" s="26">
        <f t="shared" si="19"/>
        <v>3247</v>
      </c>
      <c r="C424" s="117" t="s">
        <v>374</v>
      </c>
      <c r="D424" s="117" t="s">
        <v>374</v>
      </c>
      <c r="E424" s="117" t="s">
        <v>374</v>
      </c>
      <c r="F424" s="117" t="s">
        <v>374</v>
      </c>
      <c r="G424" s="117" t="s">
        <v>374</v>
      </c>
      <c r="H424" s="117" t="s">
        <v>374</v>
      </c>
      <c r="I424" s="24">
        <f>'c-18'!G26</f>
        <v>3247</v>
      </c>
      <c r="J424" s="117" t="s">
        <v>374</v>
      </c>
      <c r="K424" s="117" t="s">
        <v>374</v>
      </c>
      <c r="L424" s="117" t="s">
        <v>374</v>
      </c>
      <c r="M424" s="117" t="s">
        <v>374</v>
      </c>
      <c r="N424" s="118" t="s">
        <v>374</v>
      </c>
      <c r="O424" s="65" t="s">
        <v>374</v>
      </c>
      <c r="P424" s="65" t="s">
        <v>374</v>
      </c>
    </row>
    <row r="425" spans="1:16" ht="15.75" customHeight="1">
      <c r="A425" s="120" t="s">
        <v>471</v>
      </c>
      <c r="B425" s="26">
        <f t="shared" si="19"/>
        <v>85</v>
      </c>
      <c r="C425" s="117" t="s">
        <v>374</v>
      </c>
      <c r="D425" s="117" t="s">
        <v>374</v>
      </c>
      <c r="E425" s="117" t="s">
        <v>374</v>
      </c>
      <c r="F425" s="117" t="s">
        <v>374</v>
      </c>
      <c r="G425" s="117" t="s">
        <v>374</v>
      </c>
      <c r="H425" s="117" t="s">
        <v>374</v>
      </c>
      <c r="I425" s="24">
        <f>'c-18'!G27</f>
        <v>85</v>
      </c>
      <c r="J425" s="117" t="s">
        <v>374</v>
      </c>
      <c r="K425" s="117" t="s">
        <v>374</v>
      </c>
      <c r="L425" s="117" t="s">
        <v>374</v>
      </c>
      <c r="M425" s="117" t="s">
        <v>374</v>
      </c>
      <c r="N425" s="118" t="s">
        <v>374</v>
      </c>
      <c r="O425" s="65" t="s">
        <v>374</v>
      </c>
      <c r="P425" s="65" t="s">
        <v>374</v>
      </c>
    </row>
    <row r="426" spans="1:16" ht="15.75" customHeight="1">
      <c r="A426" s="120" t="s">
        <v>472</v>
      </c>
      <c r="B426" s="26">
        <f t="shared" si="19"/>
        <v>1154</v>
      </c>
      <c r="C426" s="117" t="s">
        <v>374</v>
      </c>
      <c r="D426" s="117" t="s">
        <v>374</v>
      </c>
      <c r="E426" s="117" t="s">
        <v>374</v>
      </c>
      <c r="F426" s="117" t="s">
        <v>374</v>
      </c>
      <c r="G426" s="117" t="s">
        <v>374</v>
      </c>
      <c r="H426" s="117" t="s">
        <v>374</v>
      </c>
      <c r="I426" s="24">
        <f>'c-18'!G30</f>
        <v>1154</v>
      </c>
      <c r="J426" s="117" t="s">
        <v>374</v>
      </c>
      <c r="K426" s="117" t="s">
        <v>374</v>
      </c>
      <c r="L426" s="117" t="s">
        <v>374</v>
      </c>
      <c r="M426" s="117" t="s">
        <v>374</v>
      </c>
      <c r="N426" s="118" t="s">
        <v>374</v>
      </c>
      <c r="O426" s="65" t="s">
        <v>374</v>
      </c>
      <c r="P426" s="65" t="s">
        <v>374</v>
      </c>
    </row>
    <row r="427" spans="1:16" ht="15.75" customHeight="1">
      <c r="A427" s="120" t="s">
        <v>892</v>
      </c>
      <c r="B427" s="26">
        <f t="shared" si="19"/>
        <v>1541</v>
      </c>
      <c r="C427" s="117" t="s">
        <v>374</v>
      </c>
      <c r="D427" s="117" t="s">
        <v>374</v>
      </c>
      <c r="E427" s="117" t="s">
        <v>374</v>
      </c>
      <c r="F427" s="117" t="s">
        <v>374</v>
      </c>
      <c r="G427" s="117" t="s">
        <v>374</v>
      </c>
      <c r="H427" s="117" t="s">
        <v>374</v>
      </c>
      <c r="I427" s="24">
        <f>'c-18'!G31</f>
        <v>1541</v>
      </c>
      <c r="J427" s="117" t="s">
        <v>374</v>
      </c>
      <c r="K427" s="117" t="s">
        <v>374</v>
      </c>
      <c r="L427" s="117" t="s">
        <v>374</v>
      </c>
      <c r="M427" s="117" t="s">
        <v>374</v>
      </c>
      <c r="N427" s="118" t="s">
        <v>374</v>
      </c>
      <c r="O427" s="65" t="s">
        <v>374</v>
      </c>
      <c r="P427" s="65" t="s">
        <v>374</v>
      </c>
    </row>
    <row r="428" spans="1:16" ht="15.6">
      <c r="A428" s="120" t="s">
        <v>473</v>
      </c>
      <c r="B428" s="26">
        <f t="shared" si="19"/>
        <v>2594</v>
      </c>
      <c r="C428" s="117" t="s">
        <v>374</v>
      </c>
      <c r="D428" s="117" t="s">
        <v>374</v>
      </c>
      <c r="E428" s="117" t="s">
        <v>374</v>
      </c>
      <c r="F428" s="117" t="s">
        <v>374</v>
      </c>
      <c r="G428" s="117" t="s">
        <v>374</v>
      </c>
      <c r="H428" s="117" t="s">
        <v>374</v>
      </c>
      <c r="I428" s="24">
        <f>'c-18'!G32</f>
        <v>2594</v>
      </c>
      <c r="J428" s="117" t="s">
        <v>374</v>
      </c>
      <c r="K428" s="117" t="s">
        <v>374</v>
      </c>
      <c r="L428" s="117" t="s">
        <v>374</v>
      </c>
      <c r="M428" s="117" t="s">
        <v>374</v>
      </c>
      <c r="N428" s="118" t="s">
        <v>374</v>
      </c>
      <c r="O428" s="65" t="s">
        <v>374</v>
      </c>
      <c r="P428" s="65" t="s">
        <v>374</v>
      </c>
    </row>
    <row r="429" spans="1:16" ht="15.6">
      <c r="A429" s="120" t="s">
        <v>474</v>
      </c>
      <c r="B429" s="26">
        <f t="shared" si="19"/>
        <v>356</v>
      </c>
      <c r="C429" s="117" t="s">
        <v>374</v>
      </c>
      <c r="D429" s="117" t="s">
        <v>374</v>
      </c>
      <c r="E429" s="117" t="s">
        <v>374</v>
      </c>
      <c r="F429" s="117" t="s">
        <v>374</v>
      </c>
      <c r="G429" s="117" t="s">
        <v>374</v>
      </c>
      <c r="H429" s="117" t="s">
        <v>374</v>
      </c>
      <c r="I429" s="24">
        <f>'c-18'!G33</f>
        <v>356</v>
      </c>
      <c r="J429" s="117" t="s">
        <v>374</v>
      </c>
      <c r="K429" s="117" t="s">
        <v>374</v>
      </c>
      <c r="L429" s="117" t="s">
        <v>374</v>
      </c>
      <c r="M429" s="64" t="s">
        <v>374</v>
      </c>
      <c r="N429" s="118" t="s">
        <v>374</v>
      </c>
      <c r="O429" s="65" t="s">
        <v>374</v>
      </c>
      <c r="P429" s="65" t="s">
        <v>374</v>
      </c>
    </row>
    <row r="430" spans="1:16" ht="15.6">
      <c r="A430" s="131" t="s">
        <v>475</v>
      </c>
      <c r="B430" s="26">
        <f t="shared" si="19"/>
        <v>354</v>
      </c>
      <c r="C430" s="117" t="s">
        <v>374</v>
      </c>
      <c r="D430" s="117" t="s">
        <v>374</v>
      </c>
      <c r="E430" s="117" t="s">
        <v>374</v>
      </c>
      <c r="F430" s="117" t="s">
        <v>374</v>
      </c>
      <c r="G430" s="117" t="s">
        <v>374</v>
      </c>
      <c r="H430" s="117" t="s">
        <v>374</v>
      </c>
      <c r="I430" s="24" t="s">
        <v>374</v>
      </c>
      <c r="J430" s="117" t="s">
        <v>374</v>
      </c>
      <c r="K430" s="117" t="s">
        <v>374</v>
      </c>
      <c r="L430" s="117" t="s">
        <v>374</v>
      </c>
      <c r="M430" s="64">
        <f>'c-21'!G12</f>
        <v>354</v>
      </c>
      <c r="N430" s="118" t="s">
        <v>374</v>
      </c>
      <c r="O430" s="65" t="s">
        <v>374</v>
      </c>
      <c r="P430" s="65" t="s">
        <v>374</v>
      </c>
    </row>
    <row r="431" spans="1:16" ht="15.75" customHeight="1">
      <c r="A431" s="131" t="s">
        <v>476</v>
      </c>
      <c r="B431" s="26">
        <f t="shared" si="19"/>
        <v>1047</v>
      </c>
      <c r="C431" s="117" t="s">
        <v>374</v>
      </c>
      <c r="D431" s="117" t="s">
        <v>374</v>
      </c>
      <c r="E431" s="117" t="s">
        <v>374</v>
      </c>
      <c r="F431" s="117" t="s">
        <v>374</v>
      </c>
      <c r="G431" s="117" t="s">
        <v>374</v>
      </c>
      <c r="H431" s="117" t="s">
        <v>374</v>
      </c>
      <c r="I431" s="24">
        <f>'c-18'!G86</f>
        <v>1010</v>
      </c>
      <c r="J431" s="117" t="s">
        <v>374</v>
      </c>
      <c r="K431" s="117" t="s">
        <v>374</v>
      </c>
      <c r="L431" s="117" t="s">
        <v>374</v>
      </c>
      <c r="M431" s="117">
        <f>'c-21'!G51</f>
        <v>37</v>
      </c>
      <c r="N431" s="118" t="s">
        <v>374</v>
      </c>
      <c r="O431" s="65" t="s">
        <v>374</v>
      </c>
      <c r="P431" s="65" t="s">
        <v>374</v>
      </c>
    </row>
    <row r="432" spans="1:16" ht="15.75" customHeight="1">
      <c r="A432" s="131" t="s">
        <v>652</v>
      </c>
      <c r="B432" s="26">
        <f t="shared" si="19"/>
        <v>11</v>
      </c>
      <c r="C432" s="117" t="s">
        <v>374</v>
      </c>
      <c r="D432" s="117" t="s">
        <v>374</v>
      </c>
      <c r="E432" s="117" t="s">
        <v>374</v>
      </c>
      <c r="F432" s="117" t="s">
        <v>374</v>
      </c>
      <c r="G432" s="117" t="s">
        <v>374</v>
      </c>
      <c r="H432" s="117" t="s">
        <v>374</v>
      </c>
      <c r="I432" s="24">
        <f>'c-18'!G87</f>
        <v>11</v>
      </c>
      <c r="J432" s="117" t="s">
        <v>374</v>
      </c>
      <c r="K432" s="117" t="s">
        <v>374</v>
      </c>
      <c r="L432" s="117" t="s">
        <v>374</v>
      </c>
      <c r="M432" s="117" t="s">
        <v>374</v>
      </c>
      <c r="N432" s="117" t="s">
        <v>374</v>
      </c>
      <c r="O432" s="117" t="s">
        <v>374</v>
      </c>
      <c r="P432" s="65" t="s">
        <v>374</v>
      </c>
    </row>
    <row r="433" spans="1:16" ht="15.75" customHeight="1">
      <c r="A433" s="131" t="s">
        <v>802</v>
      </c>
      <c r="B433" s="26">
        <f t="shared" si="19"/>
        <v>59</v>
      </c>
      <c r="C433" s="117" t="s">
        <v>374</v>
      </c>
      <c r="D433" s="117" t="s">
        <v>374</v>
      </c>
      <c r="E433" s="117" t="s">
        <v>374</v>
      </c>
      <c r="F433" s="117" t="s">
        <v>374</v>
      </c>
      <c r="G433" s="117" t="s">
        <v>374</v>
      </c>
      <c r="H433" s="117" t="s">
        <v>374</v>
      </c>
      <c r="I433" s="24">
        <f>'c-18'!G59</f>
        <v>59</v>
      </c>
      <c r="J433" s="117" t="s">
        <v>374</v>
      </c>
      <c r="K433" s="117" t="s">
        <v>374</v>
      </c>
      <c r="L433" s="117" t="s">
        <v>374</v>
      </c>
      <c r="M433" s="64" t="s">
        <v>374</v>
      </c>
      <c r="N433" s="118" t="s">
        <v>374</v>
      </c>
      <c r="O433" s="65" t="s">
        <v>374</v>
      </c>
      <c r="P433" s="65" t="s">
        <v>374</v>
      </c>
    </row>
    <row r="434" spans="1:16" ht="15.75" customHeight="1">
      <c r="A434" s="131" t="s">
        <v>653</v>
      </c>
      <c r="B434" s="26">
        <f t="shared" si="19"/>
        <v>2102</v>
      </c>
      <c r="C434" s="117" t="s">
        <v>374</v>
      </c>
      <c r="D434" s="117" t="s">
        <v>374</v>
      </c>
      <c r="E434" s="117"/>
      <c r="F434" s="117" t="s">
        <v>374</v>
      </c>
      <c r="G434" s="117" t="s">
        <v>374</v>
      </c>
      <c r="H434" s="117" t="s">
        <v>374</v>
      </c>
      <c r="I434" s="24">
        <f>'c-18'!G36</f>
        <v>1998</v>
      </c>
      <c r="J434" s="117" t="s">
        <v>374</v>
      </c>
      <c r="K434" s="117" t="s">
        <v>374</v>
      </c>
      <c r="L434" s="117" t="s">
        <v>374</v>
      </c>
      <c r="M434" s="117">
        <f>'c-21'!G16</f>
        <v>104</v>
      </c>
      <c r="N434" s="118" t="s">
        <v>374</v>
      </c>
      <c r="O434" s="65"/>
      <c r="P434" s="65"/>
    </row>
    <row r="435" spans="1:16" ht="15.75" customHeight="1">
      <c r="A435" s="120" t="s">
        <v>654</v>
      </c>
      <c r="B435" s="26">
        <f t="shared" si="19"/>
        <v>8</v>
      </c>
      <c r="C435" s="117" t="s">
        <v>374</v>
      </c>
      <c r="D435" s="117" t="s">
        <v>374</v>
      </c>
      <c r="E435" s="117" t="s">
        <v>374</v>
      </c>
      <c r="F435" s="117" t="s">
        <v>374</v>
      </c>
      <c r="G435" s="117" t="s">
        <v>374</v>
      </c>
      <c r="H435" s="117" t="s">
        <v>374</v>
      </c>
      <c r="I435" s="24">
        <f>'c-18'!G37</f>
        <v>8</v>
      </c>
      <c r="J435" s="117" t="s">
        <v>374</v>
      </c>
      <c r="K435" s="117" t="s">
        <v>374</v>
      </c>
      <c r="L435" s="117" t="s">
        <v>374</v>
      </c>
      <c r="M435" s="64" t="s">
        <v>374</v>
      </c>
      <c r="N435" s="118" t="s">
        <v>374</v>
      </c>
      <c r="O435" s="65" t="s">
        <v>374</v>
      </c>
      <c r="P435" s="65" t="s">
        <v>374</v>
      </c>
    </row>
    <row r="436" spans="1:16" ht="15.75" customHeight="1">
      <c r="A436" s="131" t="s">
        <v>655</v>
      </c>
      <c r="B436" s="26">
        <f t="shared" si="19"/>
        <v>224</v>
      </c>
      <c r="C436" s="117" t="s">
        <v>374</v>
      </c>
      <c r="D436" s="117" t="s">
        <v>374</v>
      </c>
      <c r="E436" s="117" t="s">
        <v>374</v>
      </c>
      <c r="F436" s="117" t="s">
        <v>374</v>
      </c>
      <c r="G436" s="117" t="s">
        <v>374</v>
      </c>
      <c r="H436" s="117" t="s">
        <v>374</v>
      </c>
      <c r="I436" s="24">
        <f>'c-18'!G38</f>
        <v>224</v>
      </c>
      <c r="J436" s="117" t="s">
        <v>374</v>
      </c>
      <c r="K436" s="117" t="s">
        <v>374</v>
      </c>
      <c r="L436" s="117" t="s">
        <v>374</v>
      </c>
      <c r="M436" s="117" t="s">
        <v>374</v>
      </c>
      <c r="N436" s="117" t="s">
        <v>374</v>
      </c>
      <c r="O436" s="117" t="s">
        <v>374</v>
      </c>
      <c r="P436" s="65" t="s">
        <v>374</v>
      </c>
    </row>
    <row r="437" spans="1:16" ht="15.75" customHeight="1">
      <c r="A437" s="120" t="s">
        <v>177</v>
      </c>
      <c r="B437" s="26">
        <f t="shared" si="19"/>
        <v>869</v>
      </c>
      <c r="C437" s="117" t="s">
        <v>374</v>
      </c>
      <c r="D437" s="117" t="s">
        <v>374</v>
      </c>
      <c r="E437" s="117" t="s">
        <v>374</v>
      </c>
      <c r="F437" s="117" t="s">
        <v>374</v>
      </c>
      <c r="G437" s="117" t="s">
        <v>374</v>
      </c>
      <c r="H437" s="117" t="s">
        <v>374</v>
      </c>
      <c r="I437" s="24">
        <f>'c-18'!G51</f>
        <v>851</v>
      </c>
      <c r="J437" s="117" t="s">
        <v>374</v>
      </c>
      <c r="K437" s="117" t="s">
        <v>374</v>
      </c>
      <c r="L437" s="117" t="s">
        <v>374</v>
      </c>
      <c r="M437" s="64">
        <f>'c-21'!G26</f>
        <v>18</v>
      </c>
      <c r="N437" s="118" t="s">
        <v>374</v>
      </c>
      <c r="O437" s="65" t="s">
        <v>374</v>
      </c>
      <c r="P437" s="65" t="s">
        <v>374</v>
      </c>
    </row>
    <row r="438" spans="1:16" ht="15.75" customHeight="1">
      <c r="A438" s="120" t="s">
        <v>497</v>
      </c>
      <c r="B438" s="26">
        <f t="shared" si="19"/>
        <v>553</v>
      </c>
      <c r="C438" s="117" t="s">
        <v>374</v>
      </c>
      <c r="D438" s="117" t="s">
        <v>374</v>
      </c>
      <c r="E438" s="117" t="s">
        <v>374</v>
      </c>
      <c r="F438" s="117" t="s">
        <v>374</v>
      </c>
      <c r="G438" s="117" t="s">
        <v>374</v>
      </c>
      <c r="H438" s="117" t="s">
        <v>374</v>
      </c>
      <c r="I438" s="24">
        <f>'c-18'!G49</f>
        <v>533</v>
      </c>
      <c r="J438" s="117" t="s">
        <v>374</v>
      </c>
      <c r="K438" s="117" t="s">
        <v>374</v>
      </c>
      <c r="L438" s="117" t="s">
        <v>374</v>
      </c>
      <c r="M438" s="117">
        <f>'c-21'!G25</f>
        <v>20</v>
      </c>
      <c r="N438" s="118" t="s">
        <v>374</v>
      </c>
      <c r="O438" s="65" t="s">
        <v>374</v>
      </c>
      <c r="P438" s="65" t="s">
        <v>374</v>
      </c>
    </row>
    <row r="439" spans="1:16" ht="15.75" customHeight="1">
      <c r="A439" s="120" t="s">
        <v>656</v>
      </c>
      <c r="B439" s="26">
        <f t="shared" si="19"/>
        <v>1</v>
      </c>
      <c r="C439" s="117" t="s">
        <v>374</v>
      </c>
      <c r="D439" s="117" t="s">
        <v>374</v>
      </c>
      <c r="E439" s="117" t="s">
        <v>374</v>
      </c>
      <c r="F439" s="117" t="s">
        <v>374</v>
      </c>
      <c r="G439" s="117" t="s">
        <v>374</v>
      </c>
      <c r="H439" s="117" t="s">
        <v>374</v>
      </c>
      <c r="I439" s="24">
        <f>'c-18'!G50</f>
        <v>1</v>
      </c>
      <c r="J439" s="117" t="s">
        <v>374</v>
      </c>
      <c r="K439" s="117" t="s">
        <v>374</v>
      </c>
      <c r="L439" s="117" t="s">
        <v>374</v>
      </c>
      <c r="M439" s="64" t="s">
        <v>374</v>
      </c>
      <c r="N439" s="118" t="s">
        <v>374</v>
      </c>
      <c r="O439" s="65" t="s">
        <v>374</v>
      </c>
      <c r="P439" s="65" t="s">
        <v>374</v>
      </c>
    </row>
    <row r="440" spans="1:16" ht="15.75" customHeight="1">
      <c r="A440" s="120" t="s">
        <v>657</v>
      </c>
      <c r="B440" s="26">
        <f t="shared" si="19"/>
        <v>1434</v>
      </c>
      <c r="C440" s="117" t="s">
        <v>374</v>
      </c>
      <c r="D440" s="117" t="s">
        <v>374</v>
      </c>
      <c r="E440" s="117" t="s">
        <v>374</v>
      </c>
      <c r="F440" s="117" t="s">
        <v>374</v>
      </c>
      <c r="G440" s="117" t="s">
        <v>374</v>
      </c>
      <c r="H440" s="117" t="s">
        <v>374</v>
      </c>
      <c r="I440" s="24">
        <f>'c-18'!G41</f>
        <v>1360</v>
      </c>
      <c r="J440" s="117" t="s">
        <v>374</v>
      </c>
      <c r="K440" s="117" t="s">
        <v>374</v>
      </c>
      <c r="L440" s="117" t="s">
        <v>374</v>
      </c>
      <c r="M440" s="117">
        <f>'c-21'!G19</f>
        <v>74</v>
      </c>
      <c r="N440" s="118" t="s">
        <v>374</v>
      </c>
      <c r="O440" s="65" t="s">
        <v>374</v>
      </c>
      <c r="P440" s="65" t="s">
        <v>374</v>
      </c>
    </row>
    <row r="441" spans="1:16" ht="15.75" customHeight="1">
      <c r="A441" s="120" t="s">
        <v>658</v>
      </c>
      <c r="B441" s="26">
        <f t="shared" si="19"/>
        <v>19</v>
      </c>
      <c r="C441" s="117" t="s">
        <v>374</v>
      </c>
      <c r="D441" s="117" t="s">
        <v>374</v>
      </c>
      <c r="E441" s="117" t="s">
        <v>374</v>
      </c>
      <c r="F441" s="117" t="s">
        <v>374</v>
      </c>
      <c r="G441" s="117" t="s">
        <v>374</v>
      </c>
      <c r="H441" s="117" t="s">
        <v>374</v>
      </c>
      <c r="I441" s="24">
        <f>'c-18'!G42</f>
        <v>19</v>
      </c>
      <c r="J441" s="117" t="s">
        <v>374</v>
      </c>
      <c r="K441" s="117" t="s">
        <v>374</v>
      </c>
      <c r="L441" s="117" t="s">
        <v>374</v>
      </c>
      <c r="M441" s="117" t="s">
        <v>374</v>
      </c>
      <c r="N441" s="118" t="s">
        <v>374</v>
      </c>
      <c r="O441" s="65"/>
      <c r="P441" s="65"/>
    </row>
    <row r="442" spans="1:16" ht="15.75" customHeight="1">
      <c r="A442" s="120" t="s">
        <v>659</v>
      </c>
      <c r="B442" s="26">
        <f t="shared" si="19"/>
        <v>131</v>
      </c>
      <c r="C442" s="117" t="s">
        <v>374</v>
      </c>
      <c r="D442" s="117" t="s">
        <v>374</v>
      </c>
      <c r="E442" s="117" t="s">
        <v>374</v>
      </c>
      <c r="F442" s="117" t="s">
        <v>374</v>
      </c>
      <c r="G442" s="117" t="s">
        <v>374</v>
      </c>
      <c r="H442" s="117" t="s">
        <v>374</v>
      </c>
      <c r="I442" s="24">
        <f>'c-18'!G43</f>
        <v>130</v>
      </c>
      <c r="J442" s="117" t="s">
        <v>374</v>
      </c>
      <c r="K442" s="117" t="s">
        <v>374</v>
      </c>
      <c r="L442" s="117" t="s">
        <v>374</v>
      </c>
      <c r="M442" s="117">
        <v>1</v>
      </c>
      <c r="N442" s="117" t="s">
        <v>374</v>
      </c>
      <c r="O442" s="117" t="s">
        <v>374</v>
      </c>
      <c r="P442" s="65" t="s">
        <v>374</v>
      </c>
    </row>
    <row r="443" spans="1:16" ht="15.75" customHeight="1">
      <c r="A443" s="120" t="s">
        <v>811</v>
      </c>
      <c r="B443" s="26">
        <f t="shared" si="19"/>
        <v>430</v>
      </c>
      <c r="C443" s="117" t="s">
        <v>374</v>
      </c>
      <c r="D443" s="117" t="s">
        <v>374</v>
      </c>
      <c r="E443" s="117" t="s">
        <v>374</v>
      </c>
      <c r="F443" s="117" t="s">
        <v>374</v>
      </c>
      <c r="G443" s="117" t="s">
        <v>374</v>
      </c>
      <c r="H443" s="117" t="s">
        <v>374</v>
      </c>
      <c r="I443" s="24">
        <f>'c-18'!G46</f>
        <v>430</v>
      </c>
      <c r="J443" s="117" t="s">
        <v>374</v>
      </c>
      <c r="K443" s="117" t="s">
        <v>374</v>
      </c>
      <c r="L443" s="117" t="s">
        <v>374</v>
      </c>
      <c r="M443" s="117" t="s">
        <v>374</v>
      </c>
      <c r="N443" s="118" t="s">
        <v>374</v>
      </c>
      <c r="O443" s="65" t="s">
        <v>374</v>
      </c>
      <c r="P443" s="65" t="s">
        <v>374</v>
      </c>
    </row>
    <row r="444" spans="1:16" ht="15.75" customHeight="1">
      <c r="A444" s="120" t="s">
        <v>109</v>
      </c>
      <c r="B444" s="26">
        <f t="shared" si="19"/>
        <v>349</v>
      </c>
      <c r="C444" s="117" t="s">
        <v>374</v>
      </c>
      <c r="D444" s="117" t="s">
        <v>374</v>
      </c>
      <c r="E444" s="117" t="s">
        <v>374</v>
      </c>
      <c r="F444" s="117" t="s">
        <v>374</v>
      </c>
      <c r="G444" s="117" t="s">
        <v>374</v>
      </c>
      <c r="H444" s="117" t="s">
        <v>374</v>
      </c>
      <c r="I444" s="24">
        <f>'c-18'!G44</f>
        <v>347</v>
      </c>
      <c r="J444" s="117" t="s">
        <v>374</v>
      </c>
      <c r="K444" s="117" t="s">
        <v>374</v>
      </c>
      <c r="L444" s="117" t="s">
        <v>374</v>
      </c>
      <c r="M444" s="117">
        <v>2</v>
      </c>
      <c r="N444" s="118" t="s">
        <v>374</v>
      </c>
      <c r="O444" s="65" t="s">
        <v>374</v>
      </c>
      <c r="P444" s="65" t="s">
        <v>374</v>
      </c>
    </row>
    <row r="445" spans="1:16" ht="15.75" customHeight="1">
      <c r="A445" s="120" t="s">
        <v>660</v>
      </c>
      <c r="B445" s="26">
        <f t="shared" si="19"/>
        <v>160</v>
      </c>
      <c r="C445" s="117" t="s">
        <v>374</v>
      </c>
      <c r="D445" s="117" t="s">
        <v>374</v>
      </c>
      <c r="E445" s="117" t="s">
        <v>374</v>
      </c>
      <c r="F445" s="117" t="s">
        <v>374</v>
      </c>
      <c r="G445" s="117" t="s">
        <v>374</v>
      </c>
      <c r="H445" s="117" t="s">
        <v>374</v>
      </c>
      <c r="I445" s="24">
        <f>'c-18'!G45</f>
        <v>159</v>
      </c>
      <c r="J445" s="117" t="s">
        <v>374</v>
      </c>
      <c r="K445" s="117" t="s">
        <v>374</v>
      </c>
      <c r="L445" s="117" t="s">
        <v>374</v>
      </c>
      <c r="M445" s="64">
        <v>1</v>
      </c>
      <c r="N445" s="118" t="s">
        <v>374</v>
      </c>
      <c r="O445" s="65" t="s">
        <v>374</v>
      </c>
      <c r="P445" s="65" t="s">
        <v>374</v>
      </c>
    </row>
    <row r="446" spans="1:16" ht="15.75" customHeight="1">
      <c r="A446" s="120" t="s">
        <v>451</v>
      </c>
      <c r="B446" s="26">
        <f t="shared" si="19"/>
        <v>2729</v>
      </c>
      <c r="C446" s="117" t="s">
        <v>374</v>
      </c>
      <c r="D446" s="117" t="s">
        <v>374</v>
      </c>
      <c r="E446" s="117" t="s">
        <v>374</v>
      </c>
      <c r="F446" s="117" t="s">
        <v>374</v>
      </c>
      <c r="G446" s="117" t="s">
        <v>374</v>
      </c>
      <c r="H446" s="117" t="s">
        <v>374</v>
      </c>
      <c r="I446" s="24">
        <f>'c-18'!G54</f>
        <v>2617</v>
      </c>
      <c r="J446" s="64" t="s">
        <v>374</v>
      </c>
      <c r="K446" s="117" t="s">
        <v>374</v>
      </c>
      <c r="L446" s="117" t="s">
        <v>374</v>
      </c>
      <c r="M446" s="117">
        <f>'c-21'!G29</f>
        <v>112</v>
      </c>
      <c r="N446" s="118" t="s">
        <v>374</v>
      </c>
      <c r="O446" s="65"/>
      <c r="P446" s="65"/>
    </row>
    <row r="447" spans="1:16" ht="15.75" customHeight="1">
      <c r="A447" s="120" t="s">
        <v>661</v>
      </c>
      <c r="B447" s="26">
        <f t="shared" si="19"/>
        <v>1</v>
      </c>
      <c r="C447" s="117" t="s">
        <v>374</v>
      </c>
      <c r="D447" s="117" t="s">
        <v>374</v>
      </c>
      <c r="E447" s="117" t="s">
        <v>374</v>
      </c>
      <c r="F447" s="117" t="s">
        <v>374</v>
      </c>
      <c r="G447" s="117" t="s">
        <v>374</v>
      </c>
      <c r="H447" s="117" t="s">
        <v>374</v>
      </c>
      <c r="I447" s="24">
        <f>'c-18'!G55</f>
        <v>1</v>
      </c>
      <c r="J447" s="64" t="s">
        <v>374</v>
      </c>
      <c r="K447" s="117" t="s">
        <v>374</v>
      </c>
      <c r="L447" s="117" t="s">
        <v>374</v>
      </c>
      <c r="M447" s="117" t="s">
        <v>374</v>
      </c>
      <c r="N447" s="118" t="s">
        <v>374</v>
      </c>
      <c r="O447" s="65" t="s">
        <v>374</v>
      </c>
      <c r="P447" s="65" t="s">
        <v>374</v>
      </c>
    </row>
    <row r="448" spans="1:16" ht="15.75" customHeight="1">
      <c r="A448" s="120" t="s">
        <v>112</v>
      </c>
      <c r="B448" s="26">
        <f t="shared" si="19"/>
        <v>972</v>
      </c>
      <c r="C448" s="117" t="s">
        <v>374</v>
      </c>
      <c r="D448" s="117" t="s">
        <v>374</v>
      </c>
      <c r="E448" s="117" t="s">
        <v>374</v>
      </c>
      <c r="F448" s="117" t="s">
        <v>374</v>
      </c>
      <c r="G448" s="117" t="s">
        <v>374</v>
      </c>
      <c r="H448" s="117" t="s">
        <v>374</v>
      </c>
      <c r="I448" s="24">
        <f>'c-18'!G56</f>
        <v>972</v>
      </c>
      <c r="J448" s="64" t="s">
        <v>374</v>
      </c>
      <c r="K448" s="117" t="s">
        <v>374</v>
      </c>
      <c r="L448" s="117" t="s">
        <v>374</v>
      </c>
      <c r="M448" s="64" t="s">
        <v>374</v>
      </c>
      <c r="N448" s="118" t="s">
        <v>374</v>
      </c>
      <c r="O448" s="65" t="s">
        <v>374</v>
      </c>
      <c r="P448" s="65" t="s">
        <v>374</v>
      </c>
    </row>
    <row r="449" spans="1:16" ht="15.6">
      <c r="A449" s="120" t="s">
        <v>1015</v>
      </c>
      <c r="B449" s="26">
        <f t="shared" si="19"/>
        <v>190</v>
      </c>
      <c r="C449" s="117" t="s">
        <v>374</v>
      </c>
      <c r="D449" s="117" t="s">
        <v>374</v>
      </c>
      <c r="E449" s="117" t="s">
        <v>374</v>
      </c>
      <c r="F449" s="117" t="s">
        <v>374</v>
      </c>
      <c r="G449" s="117" t="s">
        <v>374</v>
      </c>
      <c r="H449" s="117" t="s">
        <v>374</v>
      </c>
      <c r="I449" s="24">
        <f>'c-18'!G57</f>
        <v>190</v>
      </c>
      <c r="J449" s="64" t="s">
        <v>374</v>
      </c>
      <c r="K449" s="117" t="s">
        <v>374</v>
      </c>
      <c r="L449" s="117" t="s">
        <v>374</v>
      </c>
      <c r="M449" s="64" t="s">
        <v>374</v>
      </c>
      <c r="N449" s="118" t="s">
        <v>374</v>
      </c>
      <c r="O449" s="65" t="s">
        <v>374</v>
      </c>
      <c r="P449" s="65" t="s">
        <v>374</v>
      </c>
    </row>
    <row r="450" spans="1:16" ht="15.75" customHeight="1">
      <c r="A450" s="120" t="s">
        <v>181</v>
      </c>
      <c r="B450" s="26">
        <f t="shared" si="19"/>
        <v>342</v>
      </c>
      <c r="C450" s="117" t="s">
        <v>374</v>
      </c>
      <c r="D450" s="117" t="s">
        <v>374</v>
      </c>
      <c r="E450" s="117" t="s">
        <v>374</v>
      </c>
      <c r="F450" s="117" t="s">
        <v>374</v>
      </c>
      <c r="G450" s="117" t="s">
        <v>374</v>
      </c>
      <c r="H450" s="117" t="s">
        <v>374</v>
      </c>
      <c r="I450" s="24">
        <f>'c-18'!G58</f>
        <v>322</v>
      </c>
      <c r="J450" s="64" t="s">
        <v>374</v>
      </c>
      <c r="K450" s="117" t="s">
        <v>374</v>
      </c>
      <c r="L450" s="117" t="s">
        <v>374</v>
      </c>
      <c r="M450" s="64">
        <f>'c-21'!G30</f>
        <v>20</v>
      </c>
      <c r="N450" s="118" t="s">
        <v>374</v>
      </c>
      <c r="O450" s="65" t="s">
        <v>374</v>
      </c>
      <c r="P450" s="65" t="s">
        <v>374</v>
      </c>
    </row>
    <row r="451" spans="1:16" ht="15.75" customHeight="1">
      <c r="A451" s="120" t="s">
        <v>426</v>
      </c>
      <c r="B451" s="26">
        <f t="shared" si="19"/>
        <v>1894</v>
      </c>
      <c r="C451" s="117" t="s">
        <v>374</v>
      </c>
      <c r="D451" s="117" t="s">
        <v>374</v>
      </c>
      <c r="E451" s="117" t="s">
        <v>374</v>
      </c>
      <c r="F451" s="117" t="s">
        <v>374</v>
      </c>
      <c r="G451" s="117" t="s">
        <v>374</v>
      </c>
      <c r="H451" s="117" t="s">
        <v>374</v>
      </c>
      <c r="I451" s="24">
        <f>'c-18'!G62</f>
        <v>1828</v>
      </c>
      <c r="J451" s="117" t="s">
        <v>374</v>
      </c>
      <c r="K451" s="117" t="s">
        <v>374</v>
      </c>
      <c r="L451" s="117" t="s">
        <v>374</v>
      </c>
      <c r="M451" s="117">
        <f>'c-21'!G33</f>
        <v>66</v>
      </c>
      <c r="N451" s="118" t="s">
        <v>374</v>
      </c>
      <c r="O451" s="65"/>
      <c r="P451" s="65"/>
    </row>
    <row r="452" spans="1:16" ht="15.75" customHeight="1">
      <c r="A452" s="120" t="s">
        <v>662</v>
      </c>
      <c r="B452" s="26">
        <f t="shared" si="19"/>
        <v>5</v>
      </c>
      <c r="C452" s="117" t="s">
        <v>374</v>
      </c>
      <c r="D452" s="117" t="s">
        <v>374</v>
      </c>
      <c r="E452" s="117" t="s">
        <v>374</v>
      </c>
      <c r="F452" s="117" t="s">
        <v>374</v>
      </c>
      <c r="G452" s="117" t="s">
        <v>374</v>
      </c>
      <c r="H452" s="117" t="s">
        <v>374</v>
      </c>
      <c r="I452" s="24">
        <f>'c-18'!G63</f>
        <v>5</v>
      </c>
      <c r="J452" s="117" t="s">
        <v>374</v>
      </c>
      <c r="K452" s="117" t="s">
        <v>374</v>
      </c>
      <c r="L452" s="117" t="s">
        <v>374</v>
      </c>
      <c r="M452" s="117" t="s">
        <v>374</v>
      </c>
      <c r="N452" s="118" t="s">
        <v>374</v>
      </c>
      <c r="O452" s="65" t="s">
        <v>374</v>
      </c>
      <c r="P452" s="65" t="s">
        <v>374</v>
      </c>
    </row>
    <row r="453" spans="1:16" ht="15.75" customHeight="1">
      <c r="A453" s="120" t="s">
        <v>663</v>
      </c>
      <c r="B453" s="26">
        <f t="shared" si="19"/>
        <v>411</v>
      </c>
      <c r="C453" s="117" t="s">
        <v>374</v>
      </c>
      <c r="D453" s="117" t="s">
        <v>374</v>
      </c>
      <c r="E453" s="117" t="s">
        <v>374</v>
      </c>
      <c r="F453" s="117" t="s">
        <v>374</v>
      </c>
      <c r="G453" s="117" t="s">
        <v>374</v>
      </c>
      <c r="H453" s="117" t="s">
        <v>374</v>
      </c>
      <c r="I453" s="24">
        <f>'c-18'!G64</f>
        <v>411</v>
      </c>
      <c r="J453" s="117" t="s">
        <v>374</v>
      </c>
      <c r="K453" s="117" t="s">
        <v>374</v>
      </c>
      <c r="L453" s="117" t="s">
        <v>374</v>
      </c>
      <c r="M453" s="117" t="s">
        <v>374</v>
      </c>
      <c r="N453" s="118" t="s">
        <v>374</v>
      </c>
      <c r="O453" s="65" t="s">
        <v>374</v>
      </c>
      <c r="P453" s="65" t="s">
        <v>374</v>
      </c>
    </row>
    <row r="454" spans="1:16" ht="15.75" customHeight="1">
      <c r="A454" s="120" t="s">
        <v>624</v>
      </c>
      <c r="B454" s="26">
        <f t="shared" si="19"/>
        <v>706</v>
      </c>
      <c r="C454" s="117" t="s">
        <v>374</v>
      </c>
      <c r="D454" s="117" t="s">
        <v>374</v>
      </c>
      <c r="E454" s="117" t="s">
        <v>374</v>
      </c>
      <c r="F454" s="117" t="s">
        <v>374</v>
      </c>
      <c r="G454" s="117" t="s">
        <v>374</v>
      </c>
      <c r="H454" s="117" t="s">
        <v>374</v>
      </c>
      <c r="I454" s="24">
        <f>'c-18'!G65</f>
        <v>647</v>
      </c>
      <c r="J454" s="117" t="s">
        <v>374</v>
      </c>
      <c r="K454" s="117" t="s">
        <v>374</v>
      </c>
      <c r="L454" s="117" t="s">
        <v>374</v>
      </c>
      <c r="M454" s="64">
        <v>59</v>
      </c>
      <c r="N454" s="118" t="s">
        <v>374</v>
      </c>
      <c r="O454" s="65" t="s">
        <v>374</v>
      </c>
      <c r="P454" s="65" t="s">
        <v>374</v>
      </c>
    </row>
    <row r="455" spans="1:16" ht="15.75" customHeight="1">
      <c r="A455" s="120" t="s">
        <v>185</v>
      </c>
      <c r="B455" s="26">
        <f t="shared" si="19"/>
        <v>1355</v>
      </c>
      <c r="C455" s="117" t="s">
        <v>374</v>
      </c>
      <c r="D455" s="117" t="s">
        <v>374</v>
      </c>
      <c r="E455" s="117" t="s">
        <v>374</v>
      </c>
      <c r="F455" s="117" t="s">
        <v>374</v>
      </c>
      <c r="G455" s="117" t="s">
        <v>374</v>
      </c>
      <c r="H455" s="117" t="s">
        <v>374</v>
      </c>
      <c r="I455" s="24">
        <f>'c-18'!G69</f>
        <v>1308</v>
      </c>
      <c r="J455" s="117" t="s">
        <v>374</v>
      </c>
      <c r="K455" s="117" t="s">
        <v>374</v>
      </c>
      <c r="L455" s="117" t="s">
        <v>374</v>
      </c>
      <c r="M455" s="64">
        <f>'c-21'!G37</f>
        <v>47</v>
      </c>
      <c r="N455" s="118" t="s">
        <v>374</v>
      </c>
      <c r="O455" s="65" t="s">
        <v>374</v>
      </c>
      <c r="P455" s="65" t="s">
        <v>374</v>
      </c>
    </row>
    <row r="456" spans="1:16" ht="15.75" customHeight="1">
      <c r="A456" s="120" t="s">
        <v>664</v>
      </c>
      <c r="B456" s="26">
        <f t="shared" si="19"/>
        <v>4</v>
      </c>
      <c r="C456" s="117" t="s">
        <v>374</v>
      </c>
      <c r="D456" s="117" t="s">
        <v>374</v>
      </c>
      <c r="E456" s="117" t="s">
        <v>374</v>
      </c>
      <c r="F456" s="117" t="s">
        <v>374</v>
      </c>
      <c r="G456" s="117" t="s">
        <v>374</v>
      </c>
      <c r="H456" s="117" t="s">
        <v>374</v>
      </c>
      <c r="I456" s="24">
        <f>'c-18'!G70</f>
        <v>4</v>
      </c>
      <c r="J456" s="117" t="s">
        <v>374</v>
      </c>
      <c r="K456" s="117" t="s">
        <v>374</v>
      </c>
      <c r="L456" s="117" t="s">
        <v>374</v>
      </c>
      <c r="M456" s="64" t="s">
        <v>374</v>
      </c>
      <c r="N456" s="118" t="s">
        <v>374</v>
      </c>
      <c r="O456" s="65" t="s">
        <v>374</v>
      </c>
      <c r="P456" s="65" t="s">
        <v>374</v>
      </c>
    </row>
    <row r="457" spans="1:16" ht="15.75" customHeight="1">
      <c r="A457" s="120" t="s">
        <v>627</v>
      </c>
      <c r="B457" s="26">
        <f t="shared" si="19"/>
        <v>1018</v>
      </c>
      <c r="C457" s="117" t="s">
        <v>374</v>
      </c>
      <c r="D457" s="117" t="s">
        <v>374</v>
      </c>
      <c r="E457" s="117" t="s">
        <v>374</v>
      </c>
      <c r="F457" s="117" t="s">
        <v>374</v>
      </c>
      <c r="G457" s="117" t="s">
        <v>374</v>
      </c>
      <c r="H457" s="117" t="s">
        <v>374</v>
      </c>
      <c r="I457" s="24">
        <f>'c-18'!G71</f>
        <v>1001</v>
      </c>
      <c r="J457" s="117" t="s">
        <v>374</v>
      </c>
      <c r="K457" s="117" t="s">
        <v>374</v>
      </c>
      <c r="L457" s="117" t="s">
        <v>374</v>
      </c>
      <c r="M457" s="64">
        <f>'c-21'!G38</f>
        <v>17</v>
      </c>
      <c r="N457" s="118" t="s">
        <v>374</v>
      </c>
      <c r="O457" s="65" t="s">
        <v>374</v>
      </c>
      <c r="P457" s="65" t="s">
        <v>374</v>
      </c>
    </row>
    <row r="458" spans="1:16" ht="15.75" customHeight="1">
      <c r="A458" s="120" t="s">
        <v>665</v>
      </c>
      <c r="B458" s="26">
        <f t="shared" si="19"/>
        <v>826</v>
      </c>
      <c r="C458" s="117" t="s">
        <v>374</v>
      </c>
      <c r="D458" s="117" t="s">
        <v>374</v>
      </c>
      <c r="E458" s="117" t="s">
        <v>374</v>
      </c>
      <c r="F458" s="117" t="s">
        <v>374</v>
      </c>
      <c r="G458" s="117" t="s">
        <v>374</v>
      </c>
      <c r="H458" s="117" t="s">
        <v>374</v>
      </c>
      <c r="I458" s="24">
        <f>'c-18'!G74</f>
        <v>818</v>
      </c>
      <c r="J458" s="117" t="s">
        <v>374</v>
      </c>
      <c r="K458" s="117" t="s">
        <v>374</v>
      </c>
      <c r="L458" s="117" t="s">
        <v>374</v>
      </c>
      <c r="M458" s="64">
        <f>'c-21'!G41</f>
        <v>8</v>
      </c>
      <c r="N458" s="118" t="s">
        <v>374</v>
      </c>
      <c r="O458" s="65" t="s">
        <v>374</v>
      </c>
      <c r="P458" s="65" t="s">
        <v>374</v>
      </c>
    </row>
    <row r="459" spans="1:16" ht="15.75" customHeight="1">
      <c r="A459" s="120" t="s">
        <v>500</v>
      </c>
      <c r="B459" s="26">
        <f t="shared" si="19"/>
        <v>1571</v>
      </c>
      <c r="C459" s="117" t="s">
        <v>374</v>
      </c>
      <c r="D459" s="117" t="s">
        <v>374</v>
      </c>
      <c r="E459" s="117" t="s">
        <v>374</v>
      </c>
      <c r="F459" s="117" t="s">
        <v>374</v>
      </c>
      <c r="G459" s="117" t="s">
        <v>374</v>
      </c>
      <c r="H459" s="117" t="s">
        <v>374</v>
      </c>
      <c r="I459" s="24">
        <f>'c-18'!G75</f>
        <v>1563</v>
      </c>
      <c r="J459" s="117" t="s">
        <v>374</v>
      </c>
      <c r="K459" s="117" t="s">
        <v>374</v>
      </c>
      <c r="L459" s="117" t="s">
        <v>374</v>
      </c>
      <c r="M459" s="64">
        <f>'c-21'!G42</f>
        <v>8</v>
      </c>
      <c r="N459" s="118" t="s">
        <v>374</v>
      </c>
      <c r="O459" s="65" t="s">
        <v>374</v>
      </c>
      <c r="P459" s="65" t="s">
        <v>374</v>
      </c>
    </row>
    <row r="460" spans="1:16" ht="15.75" customHeight="1">
      <c r="A460" s="120" t="s">
        <v>666</v>
      </c>
      <c r="B460" s="26">
        <f t="shared" si="19"/>
        <v>5</v>
      </c>
      <c r="C460" s="117" t="s">
        <v>374</v>
      </c>
      <c r="D460" s="117" t="s">
        <v>374</v>
      </c>
      <c r="E460" s="117" t="s">
        <v>374</v>
      </c>
      <c r="F460" s="117" t="s">
        <v>374</v>
      </c>
      <c r="G460" s="117" t="s">
        <v>374</v>
      </c>
      <c r="H460" s="117" t="s">
        <v>374</v>
      </c>
      <c r="I460" s="24">
        <f>'c-18'!G76</f>
        <v>5</v>
      </c>
      <c r="J460" s="117" t="s">
        <v>374</v>
      </c>
      <c r="K460" s="117" t="s">
        <v>374</v>
      </c>
      <c r="L460" s="117" t="s">
        <v>374</v>
      </c>
      <c r="M460" s="117" t="s">
        <v>374</v>
      </c>
      <c r="N460" s="118" t="s">
        <v>374</v>
      </c>
      <c r="O460" s="65" t="s">
        <v>374</v>
      </c>
      <c r="P460" s="65" t="s">
        <v>374</v>
      </c>
    </row>
    <row r="461" spans="1:16" ht="15.75" customHeight="1">
      <c r="A461" s="120" t="s">
        <v>776</v>
      </c>
      <c r="B461" s="26">
        <f t="shared" si="19"/>
        <v>1805</v>
      </c>
      <c r="C461" s="117" t="s">
        <v>374</v>
      </c>
      <c r="D461" s="117" t="s">
        <v>374</v>
      </c>
      <c r="E461" s="117" t="s">
        <v>374</v>
      </c>
      <c r="F461" s="117" t="s">
        <v>374</v>
      </c>
      <c r="G461" s="117" t="s">
        <v>374</v>
      </c>
      <c r="H461" s="117" t="s">
        <v>374</v>
      </c>
      <c r="I461" s="24">
        <f>'c-18'!G79</f>
        <v>1710</v>
      </c>
      <c r="J461" s="117" t="s">
        <v>374</v>
      </c>
      <c r="K461" s="117" t="s">
        <v>374</v>
      </c>
      <c r="L461" s="117" t="s">
        <v>374</v>
      </c>
      <c r="M461" s="117">
        <f>'c-21'!G45</f>
        <v>95</v>
      </c>
      <c r="N461" s="118" t="s">
        <v>374</v>
      </c>
      <c r="O461" s="65" t="s">
        <v>374</v>
      </c>
      <c r="P461" s="65" t="s">
        <v>374</v>
      </c>
    </row>
    <row r="462" spans="1:16" ht="15.75" customHeight="1">
      <c r="A462" s="120" t="s">
        <v>667</v>
      </c>
      <c r="B462" s="26">
        <f t="shared" si="19"/>
        <v>6</v>
      </c>
      <c r="C462" s="117" t="s">
        <v>374</v>
      </c>
      <c r="D462" s="117" t="s">
        <v>374</v>
      </c>
      <c r="E462" s="117" t="s">
        <v>374</v>
      </c>
      <c r="F462" s="117" t="s">
        <v>374</v>
      </c>
      <c r="G462" s="117" t="s">
        <v>374</v>
      </c>
      <c r="H462" s="117" t="s">
        <v>374</v>
      </c>
      <c r="I462" s="24">
        <f>'c-18'!G80</f>
        <v>6</v>
      </c>
      <c r="J462" s="117" t="s">
        <v>374</v>
      </c>
      <c r="K462" s="117" t="s">
        <v>374</v>
      </c>
      <c r="L462" s="117" t="s">
        <v>374</v>
      </c>
      <c r="M462" s="64" t="s">
        <v>374</v>
      </c>
      <c r="N462" s="118" t="s">
        <v>374</v>
      </c>
      <c r="O462" s="65" t="s">
        <v>374</v>
      </c>
      <c r="P462" s="65" t="s">
        <v>374</v>
      </c>
    </row>
    <row r="463" spans="1:16" ht="15.75" customHeight="1">
      <c r="A463" s="120" t="s">
        <v>668</v>
      </c>
      <c r="B463" s="26">
        <f t="shared" si="19"/>
        <v>488</v>
      </c>
      <c r="C463" s="117" t="s">
        <v>374</v>
      </c>
      <c r="D463" s="117" t="s">
        <v>374</v>
      </c>
      <c r="E463" s="117" t="s">
        <v>374</v>
      </c>
      <c r="F463" s="117" t="s">
        <v>374</v>
      </c>
      <c r="G463" s="117" t="s">
        <v>374</v>
      </c>
      <c r="H463" s="117" t="s">
        <v>374</v>
      </c>
      <c r="I463" s="24">
        <f>'c-18'!G82</f>
        <v>479</v>
      </c>
      <c r="J463" s="117" t="s">
        <v>374</v>
      </c>
      <c r="K463" s="117" t="s">
        <v>374</v>
      </c>
      <c r="L463" s="117" t="s">
        <v>374</v>
      </c>
      <c r="M463" s="64">
        <v>9</v>
      </c>
      <c r="N463" s="118" t="s">
        <v>374</v>
      </c>
      <c r="O463" s="65" t="s">
        <v>374</v>
      </c>
      <c r="P463" s="65" t="s">
        <v>374</v>
      </c>
    </row>
    <row r="464" spans="1:16" ht="15.75" customHeight="1">
      <c r="A464" s="120" t="s">
        <v>637</v>
      </c>
      <c r="B464" s="26">
        <f t="shared" si="19"/>
        <v>280</v>
      </c>
      <c r="C464" s="117" t="s">
        <v>374</v>
      </c>
      <c r="D464" s="117" t="s">
        <v>374</v>
      </c>
      <c r="E464" s="117" t="s">
        <v>374</v>
      </c>
      <c r="F464" s="117" t="s">
        <v>374</v>
      </c>
      <c r="G464" s="117" t="s">
        <v>374</v>
      </c>
      <c r="H464" s="117" t="s">
        <v>374</v>
      </c>
      <c r="I464" s="24">
        <f>'c-18'!G81</f>
        <v>269</v>
      </c>
      <c r="J464" s="117" t="s">
        <v>374</v>
      </c>
      <c r="K464" s="117" t="s">
        <v>374</v>
      </c>
      <c r="L464" s="117" t="s">
        <v>374</v>
      </c>
      <c r="M464" s="64">
        <v>11</v>
      </c>
      <c r="N464" s="118" t="s">
        <v>374</v>
      </c>
      <c r="O464" s="65" t="s">
        <v>374</v>
      </c>
      <c r="P464" s="65" t="s">
        <v>374</v>
      </c>
    </row>
    <row r="465" spans="1:16" ht="15.75" customHeight="1">
      <c r="A465" s="120" t="s">
        <v>669</v>
      </c>
      <c r="B465" s="26">
        <f t="shared" si="19"/>
        <v>941</v>
      </c>
      <c r="C465" s="117" t="s">
        <v>374</v>
      </c>
      <c r="D465" s="117" t="s">
        <v>374</v>
      </c>
      <c r="E465" s="117" t="s">
        <v>374</v>
      </c>
      <c r="F465" s="117" t="s">
        <v>374</v>
      </c>
      <c r="G465" s="117" t="s">
        <v>374</v>
      </c>
      <c r="H465" s="117" t="s">
        <v>374</v>
      </c>
      <c r="I465" s="24">
        <f>'c-18'!G83</f>
        <v>934</v>
      </c>
      <c r="J465" s="117" t="s">
        <v>374</v>
      </c>
      <c r="K465" s="117" t="s">
        <v>374</v>
      </c>
      <c r="L465" s="117" t="s">
        <v>374</v>
      </c>
      <c r="M465" s="64">
        <f>'c-21'!G46</f>
        <v>7</v>
      </c>
      <c r="N465" s="118" t="s">
        <v>374</v>
      </c>
      <c r="O465" s="65" t="s">
        <v>374</v>
      </c>
      <c r="P465" s="65" t="s">
        <v>374</v>
      </c>
    </row>
    <row r="466" spans="1:16" ht="15.75" customHeight="1">
      <c r="A466" s="120" t="s">
        <v>640</v>
      </c>
      <c r="B466" s="26">
        <f t="shared" si="19"/>
        <v>531</v>
      </c>
      <c r="C466" s="117" t="s">
        <v>374</v>
      </c>
      <c r="D466" s="117" t="s">
        <v>374</v>
      </c>
      <c r="E466" s="117" t="s">
        <v>374</v>
      </c>
      <c r="F466" s="117" t="s">
        <v>374</v>
      </c>
      <c r="G466" s="117" t="s">
        <v>374</v>
      </c>
      <c r="H466" s="117" t="s">
        <v>374</v>
      </c>
      <c r="I466" s="24">
        <f>'c-18'!G93</f>
        <v>516</v>
      </c>
      <c r="J466" s="117" t="s">
        <v>374</v>
      </c>
      <c r="K466" s="117" t="s">
        <v>374</v>
      </c>
      <c r="L466" s="117" t="s">
        <v>374</v>
      </c>
      <c r="M466" s="64">
        <f>'c-21'!G56</f>
        <v>15</v>
      </c>
      <c r="N466" s="118" t="s">
        <v>374</v>
      </c>
      <c r="O466" s="65" t="s">
        <v>374</v>
      </c>
      <c r="P466" s="65" t="s">
        <v>374</v>
      </c>
    </row>
    <row r="467" spans="1:16" ht="15.75" customHeight="1">
      <c r="A467" s="120" t="s">
        <v>582</v>
      </c>
      <c r="B467" s="26">
        <f t="shared" si="19"/>
        <v>712</v>
      </c>
      <c r="C467" s="117" t="s">
        <v>374</v>
      </c>
      <c r="D467" s="117" t="s">
        <v>374</v>
      </c>
      <c r="E467" s="117" t="s">
        <v>374</v>
      </c>
      <c r="F467" s="117" t="s">
        <v>374</v>
      </c>
      <c r="G467" s="117" t="s">
        <v>374</v>
      </c>
      <c r="H467" s="117" t="s">
        <v>374</v>
      </c>
      <c r="I467" s="24">
        <f>'c-18'!G94</f>
        <v>690</v>
      </c>
      <c r="J467" s="117" t="s">
        <v>374</v>
      </c>
      <c r="K467" s="117" t="s">
        <v>374</v>
      </c>
      <c r="L467" s="117" t="s">
        <v>374</v>
      </c>
      <c r="M467" s="117">
        <f>'c-21'!G57</f>
        <v>22</v>
      </c>
      <c r="N467" s="118" t="s">
        <v>374</v>
      </c>
      <c r="O467" s="65" t="s">
        <v>374</v>
      </c>
      <c r="P467" s="65" t="s">
        <v>374</v>
      </c>
    </row>
    <row r="468" spans="1:16" ht="15.75" customHeight="1">
      <c r="A468" s="120" t="s">
        <v>670</v>
      </c>
      <c r="B468" s="26">
        <f t="shared" si="19"/>
        <v>189</v>
      </c>
      <c r="C468" s="117" t="s">
        <v>374</v>
      </c>
      <c r="D468" s="117" t="s">
        <v>374</v>
      </c>
      <c r="E468" s="117" t="s">
        <v>374</v>
      </c>
      <c r="F468" s="117" t="s">
        <v>374</v>
      </c>
      <c r="G468" s="117" t="s">
        <v>374</v>
      </c>
      <c r="H468" s="117" t="s">
        <v>374</v>
      </c>
      <c r="I468" s="24">
        <f>'c-18'!G95</f>
        <v>189</v>
      </c>
      <c r="J468" s="117" t="s">
        <v>374</v>
      </c>
      <c r="K468" s="117" t="s">
        <v>374</v>
      </c>
      <c r="L468" s="117" t="s">
        <v>374</v>
      </c>
      <c r="M468" s="117" t="s">
        <v>374</v>
      </c>
      <c r="N468" s="118" t="s">
        <v>374</v>
      </c>
      <c r="O468" s="65" t="s">
        <v>374</v>
      </c>
      <c r="P468" s="65" t="s">
        <v>374</v>
      </c>
    </row>
    <row r="469" spans="1:16" ht="15.75" customHeight="1">
      <c r="A469" s="120" t="s">
        <v>501</v>
      </c>
      <c r="B469" s="26">
        <f t="shared" si="19"/>
        <v>637</v>
      </c>
      <c r="C469" s="117" t="s">
        <v>374</v>
      </c>
      <c r="D469" s="117" t="s">
        <v>374</v>
      </c>
      <c r="E469" s="117" t="s">
        <v>374</v>
      </c>
      <c r="F469" s="117" t="s">
        <v>374</v>
      </c>
      <c r="G469" s="117" t="s">
        <v>374</v>
      </c>
      <c r="H469" s="117" t="s">
        <v>374</v>
      </c>
      <c r="I469" s="24">
        <f>'c-18'!G91</f>
        <v>625</v>
      </c>
      <c r="J469" s="117" t="s">
        <v>374</v>
      </c>
      <c r="K469" s="117" t="s">
        <v>374</v>
      </c>
      <c r="L469" s="117" t="s">
        <v>374</v>
      </c>
      <c r="M469" s="64">
        <f>'c-21'!G55</f>
        <v>12</v>
      </c>
      <c r="N469" s="118" t="s">
        <v>374</v>
      </c>
      <c r="O469" s="65" t="s">
        <v>374</v>
      </c>
      <c r="P469" s="65" t="s">
        <v>374</v>
      </c>
    </row>
    <row r="470" spans="1:16" ht="15.75" customHeight="1">
      <c r="A470" s="120" t="s">
        <v>671</v>
      </c>
      <c r="B470" s="26">
        <f t="shared" si="19"/>
        <v>4</v>
      </c>
      <c r="C470" s="117" t="s">
        <v>374</v>
      </c>
      <c r="D470" s="117" t="s">
        <v>374</v>
      </c>
      <c r="E470" s="117" t="s">
        <v>374</v>
      </c>
      <c r="F470" s="117" t="s">
        <v>374</v>
      </c>
      <c r="G470" s="117" t="s">
        <v>374</v>
      </c>
      <c r="H470" s="117" t="s">
        <v>374</v>
      </c>
      <c r="I470" s="24">
        <f>'c-18'!G92</f>
        <v>4</v>
      </c>
      <c r="J470" s="117" t="s">
        <v>374</v>
      </c>
      <c r="K470" s="117" t="s">
        <v>374</v>
      </c>
      <c r="L470" s="117" t="s">
        <v>374</v>
      </c>
      <c r="M470" s="64" t="s">
        <v>374</v>
      </c>
      <c r="N470" s="118" t="s">
        <v>374</v>
      </c>
      <c r="O470" s="65" t="s">
        <v>374</v>
      </c>
      <c r="P470" s="65" t="s">
        <v>374</v>
      </c>
    </row>
    <row r="471" spans="1:16" ht="15.75" customHeight="1">
      <c r="A471" s="120" t="s">
        <v>672</v>
      </c>
      <c r="B471" s="26">
        <f t="shared" si="19"/>
        <v>385</v>
      </c>
      <c r="C471" s="117" t="s">
        <v>374</v>
      </c>
      <c r="D471" s="117" t="s">
        <v>374</v>
      </c>
      <c r="E471" s="117" t="s">
        <v>374</v>
      </c>
      <c r="F471" s="117" t="s">
        <v>374</v>
      </c>
      <c r="G471" s="117" t="s">
        <v>374</v>
      </c>
      <c r="H471" s="117" t="s">
        <v>374</v>
      </c>
      <c r="I471" s="24">
        <f>'c-18'!G97</f>
        <v>373</v>
      </c>
      <c r="J471" s="117" t="s">
        <v>374</v>
      </c>
      <c r="K471" s="117" t="s">
        <v>374</v>
      </c>
      <c r="L471" s="64" t="s">
        <v>374</v>
      </c>
      <c r="M471" s="64">
        <v>12</v>
      </c>
      <c r="N471" s="118" t="s">
        <v>374</v>
      </c>
      <c r="O471" s="65" t="s">
        <v>374</v>
      </c>
      <c r="P471" s="65" t="s">
        <v>374</v>
      </c>
    </row>
    <row r="472" spans="1:16" ht="15.75" customHeight="1">
      <c r="A472" s="120" t="s">
        <v>673</v>
      </c>
      <c r="B472" s="26">
        <f t="shared" si="19"/>
        <v>361</v>
      </c>
      <c r="C472" s="117" t="s">
        <v>374</v>
      </c>
      <c r="D472" s="117" t="s">
        <v>374</v>
      </c>
      <c r="E472" s="117" t="s">
        <v>374</v>
      </c>
      <c r="F472" s="117" t="s">
        <v>374</v>
      </c>
      <c r="G472" s="117" t="s">
        <v>374</v>
      </c>
      <c r="H472" s="117" t="s">
        <v>374</v>
      </c>
      <c r="I472" s="24">
        <f>'c-18'!G88</f>
        <v>352</v>
      </c>
      <c r="J472" s="117" t="s">
        <v>374</v>
      </c>
      <c r="K472" s="117" t="s">
        <v>374</v>
      </c>
      <c r="L472" s="64" t="s">
        <v>374</v>
      </c>
      <c r="M472" s="64">
        <v>9</v>
      </c>
      <c r="N472" s="118" t="s">
        <v>374</v>
      </c>
      <c r="O472" s="65" t="s">
        <v>374</v>
      </c>
      <c r="P472" s="65" t="s">
        <v>374</v>
      </c>
    </row>
    <row r="473" spans="1:16" ht="15.75" customHeight="1">
      <c r="A473" s="120" t="s">
        <v>478</v>
      </c>
      <c r="B473" s="26">
        <f t="shared" si="19"/>
        <v>1480</v>
      </c>
      <c r="C473" s="118" t="s">
        <v>374</v>
      </c>
      <c r="D473" s="66" t="s">
        <v>374</v>
      </c>
      <c r="E473" s="64" t="s">
        <v>374</v>
      </c>
      <c r="F473" s="117" t="s">
        <v>374</v>
      </c>
      <c r="G473" s="117" t="s">
        <v>374</v>
      </c>
      <c r="H473" s="117" t="s">
        <v>374</v>
      </c>
      <c r="I473" s="24">
        <f>'c-18'!G100</f>
        <v>1445</v>
      </c>
      <c r="J473" s="117" t="s">
        <v>374</v>
      </c>
      <c r="K473" s="117" t="s">
        <v>374</v>
      </c>
      <c r="L473" s="64" t="s">
        <v>374</v>
      </c>
      <c r="M473" s="64">
        <f>'c-21'!G62</f>
        <v>35</v>
      </c>
      <c r="N473" s="118" t="s">
        <v>374</v>
      </c>
      <c r="O473" s="65" t="s">
        <v>374</v>
      </c>
      <c r="P473" s="65" t="s">
        <v>374</v>
      </c>
    </row>
    <row r="474" spans="1:16" ht="15.75" customHeight="1">
      <c r="A474" s="120" t="s">
        <v>674</v>
      </c>
      <c r="B474" s="26">
        <f t="shared" si="19"/>
        <v>1</v>
      </c>
      <c r="C474" s="117" t="s">
        <v>374</v>
      </c>
      <c r="D474" s="117" t="s">
        <v>374</v>
      </c>
      <c r="E474" s="117" t="s">
        <v>374</v>
      </c>
      <c r="F474" s="117" t="s">
        <v>374</v>
      </c>
      <c r="G474" s="117" t="s">
        <v>374</v>
      </c>
      <c r="H474" s="117" t="s">
        <v>374</v>
      </c>
      <c r="I474" s="24">
        <f>'c-18'!G101</f>
        <v>1</v>
      </c>
      <c r="J474" s="117" t="s">
        <v>374</v>
      </c>
      <c r="K474" s="117" t="s">
        <v>374</v>
      </c>
      <c r="L474" s="64" t="s">
        <v>374</v>
      </c>
      <c r="M474" s="64" t="s">
        <v>374</v>
      </c>
      <c r="N474" s="118" t="s">
        <v>374</v>
      </c>
      <c r="O474" s="65" t="s">
        <v>374</v>
      </c>
      <c r="P474" s="65" t="s">
        <v>374</v>
      </c>
    </row>
    <row r="475" spans="1:16" ht="15.75" customHeight="1">
      <c r="A475" s="120" t="s">
        <v>675</v>
      </c>
      <c r="B475" s="26">
        <f t="shared" si="19"/>
        <v>478</v>
      </c>
      <c r="C475" s="118" t="s">
        <v>374</v>
      </c>
      <c r="D475" s="66" t="s">
        <v>374</v>
      </c>
      <c r="E475" s="64" t="s">
        <v>374</v>
      </c>
      <c r="F475" s="117" t="s">
        <v>374</v>
      </c>
      <c r="G475" s="117" t="s">
        <v>374</v>
      </c>
      <c r="H475" s="117" t="s">
        <v>374</v>
      </c>
      <c r="I475" s="24">
        <f>'c-18'!G102</f>
        <v>439</v>
      </c>
      <c r="J475" s="117" t="s">
        <v>374</v>
      </c>
      <c r="K475" s="117" t="s">
        <v>374</v>
      </c>
      <c r="L475" s="64" t="s">
        <v>374</v>
      </c>
      <c r="M475" s="64">
        <v>39</v>
      </c>
      <c r="N475" s="118" t="s">
        <v>374</v>
      </c>
      <c r="O475" s="65" t="s">
        <v>374</v>
      </c>
      <c r="P475" s="65" t="s">
        <v>374</v>
      </c>
    </row>
    <row r="476" spans="1:16" ht="15.75" customHeight="1">
      <c r="A476" s="120" t="s">
        <v>479</v>
      </c>
      <c r="B476" s="26">
        <f t="shared" si="19"/>
        <v>2401</v>
      </c>
      <c r="C476" s="117" t="s">
        <v>374</v>
      </c>
      <c r="D476" s="117" t="s">
        <v>374</v>
      </c>
      <c r="E476" s="117" t="s">
        <v>374</v>
      </c>
      <c r="F476" s="117" t="s">
        <v>374</v>
      </c>
      <c r="G476" s="117" t="s">
        <v>374</v>
      </c>
      <c r="H476" s="117" t="s">
        <v>374</v>
      </c>
      <c r="I476" s="24">
        <f>'c-18'!G105</f>
        <v>2378</v>
      </c>
      <c r="J476" s="117" t="s">
        <v>374</v>
      </c>
      <c r="K476" s="117" t="s">
        <v>374</v>
      </c>
      <c r="L476" s="64" t="s">
        <v>374</v>
      </c>
      <c r="M476" s="64">
        <f>'c-21'!G65</f>
        <v>23</v>
      </c>
      <c r="N476" s="118" t="s">
        <v>374</v>
      </c>
      <c r="O476" s="65" t="s">
        <v>374</v>
      </c>
      <c r="P476" s="65" t="s">
        <v>374</v>
      </c>
    </row>
    <row r="477" spans="1:16" ht="15.75" customHeight="1">
      <c r="A477" s="120" t="s">
        <v>676</v>
      </c>
      <c r="B477" s="26">
        <f t="shared" si="19"/>
        <v>1</v>
      </c>
      <c r="C477" s="118" t="s">
        <v>374</v>
      </c>
      <c r="D477" s="66" t="s">
        <v>374</v>
      </c>
      <c r="E477" s="64" t="s">
        <v>374</v>
      </c>
      <c r="F477" s="117" t="s">
        <v>374</v>
      </c>
      <c r="G477" s="117" t="s">
        <v>374</v>
      </c>
      <c r="H477" s="117" t="s">
        <v>374</v>
      </c>
      <c r="I477" s="24">
        <f>'c-18'!G106</f>
        <v>1</v>
      </c>
      <c r="J477" s="117" t="s">
        <v>374</v>
      </c>
      <c r="K477" s="117" t="s">
        <v>374</v>
      </c>
      <c r="L477" s="64" t="s">
        <v>374</v>
      </c>
      <c r="M477" s="64" t="s">
        <v>374</v>
      </c>
      <c r="N477" s="118" t="s">
        <v>374</v>
      </c>
      <c r="O477" s="65" t="s">
        <v>374</v>
      </c>
      <c r="P477" s="65" t="s">
        <v>374</v>
      </c>
    </row>
    <row r="478" spans="1:16" ht="15.75" customHeight="1">
      <c r="A478" s="120" t="s">
        <v>481</v>
      </c>
      <c r="B478" s="26">
        <f t="shared" si="19"/>
        <v>979</v>
      </c>
      <c r="C478" s="117" t="s">
        <v>374</v>
      </c>
      <c r="D478" s="117" t="s">
        <v>374</v>
      </c>
      <c r="E478" s="117" t="s">
        <v>374</v>
      </c>
      <c r="F478" s="117" t="s">
        <v>374</v>
      </c>
      <c r="G478" s="117" t="s">
        <v>374</v>
      </c>
      <c r="H478" s="117" t="s">
        <v>374</v>
      </c>
      <c r="I478" s="24">
        <f>'c-18'!G107</f>
        <v>979</v>
      </c>
      <c r="J478" s="117" t="s">
        <v>374</v>
      </c>
      <c r="K478" s="117" t="s">
        <v>374</v>
      </c>
      <c r="L478" s="64" t="s">
        <v>374</v>
      </c>
      <c r="M478" s="64" t="s">
        <v>374</v>
      </c>
      <c r="N478" s="118" t="s">
        <v>374</v>
      </c>
      <c r="O478" s="65" t="s">
        <v>374</v>
      </c>
      <c r="P478" s="65" t="s">
        <v>374</v>
      </c>
    </row>
    <row r="479" spans="1:16" ht="15.75" customHeight="1">
      <c r="A479" s="116" t="s">
        <v>1079</v>
      </c>
      <c r="B479" s="26">
        <f t="shared" si="19"/>
        <v>141</v>
      </c>
      <c r="C479" s="117"/>
      <c r="D479" s="117"/>
      <c r="E479" s="117"/>
      <c r="F479" s="117"/>
      <c r="G479" s="117"/>
      <c r="H479" s="117"/>
      <c r="I479" s="117">
        <f>'c-18'!G96</f>
        <v>137</v>
      </c>
      <c r="J479" s="117"/>
      <c r="K479" s="118"/>
      <c r="L479" s="64"/>
      <c r="M479" s="64">
        <v>4</v>
      </c>
      <c r="N479" s="118"/>
      <c r="O479" s="65"/>
      <c r="P479" s="65"/>
    </row>
    <row r="480" spans="1:16" ht="15.75" customHeight="1">
      <c r="A480" s="116" t="s">
        <v>1042</v>
      </c>
      <c r="B480" s="26">
        <f t="shared" si="19"/>
        <v>18</v>
      </c>
      <c r="C480" s="117"/>
      <c r="D480" s="117"/>
      <c r="E480" s="117"/>
      <c r="F480" s="117"/>
      <c r="G480" s="117"/>
      <c r="H480" s="117"/>
      <c r="I480" s="117">
        <f>'c-18'!G66</f>
        <v>18</v>
      </c>
      <c r="J480" s="117"/>
      <c r="K480" s="118"/>
      <c r="L480" s="64"/>
      <c r="M480" s="64" t="s">
        <v>374</v>
      </c>
      <c r="N480" s="118"/>
      <c r="O480" s="65"/>
      <c r="P480" s="65"/>
    </row>
    <row r="481" spans="1:16" ht="15.75" customHeight="1">
      <c r="A481" s="143"/>
      <c r="B481" s="105"/>
      <c r="C481" s="105"/>
      <c r="D481" s="105"/>
      <c r="E481" s="105"/>
      <c r="F481" s="105"/>
      <c r="G481" s="105"/>
      <c r="H481" s="105"/>
      <c r="I481" s="105"/>
      <c r="J481" s="105"/>
      <c r="K481" s="105"/>
      <c r="L481" s="135"/>
      <c r="M481" s="135"/>
      <c r="N481" s="137"/>
      <c r="O481" s="84"/>
      <c r="P481" s="84"/>
    </row>
    <row r="482" spans="1:16" ht="15.75" customHeight="1">
      <c r="A482" s="148" t="s">
        <v>532</v>
      </c>
    </row>
    <row r="483" spans="1:16" ht="15.75" customHeight="1">
      <c r="A483" s="148" t="s">
        <v>533</v>
      </c>
    </row>
    <row r="484" spans="1:16" ht="15.75" customHeight="1">
      <c r="A484" s="39" t="s">
        <v>1072</v>
      </c>
    </row>
  </sheetData>
  <sheetProtection selectLockedCells="1" selectUnlockedCells="1"/>
  <mergeCells count="5">
    <mergeCell ref="C355:P355"/>
    <mergeCell ref="A3:P3"/>
    <mergeCell ref="C5:P5"/>
    <mergeCell ref="C137:P137"/>
    <mergeCell ref="C253:P253"/>
  </mergeCells>
  <phoneticPr fontId="0" type="noConversion"/>
  <printOptions horizontalCentered="1" verticalCentered="1"/>
  <pageMargins left="0" right="0" top="0" bottom="0" header="0.51180555555555551" footer="0.51180555555555551"/>
  <pageSetup scale="33" firstPageNumber="686" orientation="portrait" useFirstPageNumber="1" horizontalDpi="300" verticalDpi="300"/>
  <headerFooter alignWithMargins="0"/>
  <rowBreaks count="3" manualBreakCount="3">
    <brk id="134" max="16383" man="1"/>
    <brk id="250" max="16383" man="1"/>
    <brk id="35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L148"/>
  <sheetViews>
    <sheetView zoomScale="90" zoomScaleNormal="90" workbookViewId="0">
      <selection activeCell="A3" sqref="A3:L3"/>
    </sheetView>
  </sheetViews>
  <sheetFormatPr baseColWidth="10" defaultColWidth="11.44140625" defaultRowHeight="20.25" customHeight="1"/>
  <cols>
    <col min="1" max="1" width="80" style="152" customWidth="1"/>
    <col min="2" max="2" width="18.109375" style="152" customWidth="1"/>
    <col min="3" max="3" width="18.44140625" style="152" customWidth="1"/>
    <col min="4" max="4" width="19.5546875" style="152" customWidth="1"/>
    <col min="5" max="5" width="20.33203125" style="152" customWidth="1"/>
    <col min="6" max="6" width="19.88671875" style="152" customWidth="1"/>
    <col min="7" max="7" width="18.5546875" style="152" customWidth="1"/>
    <col min="8" max="8" width="5.6640625" style="152" customWidth="1"/>
    <col min="9" max="12" width="18.6640625" style="152" customWidth="1"/>
    <col min="13" max="16384" width="11.44140625" style="152"/>
  </cols>
  <sheetData>
    <row r="1" spans="1:12" ht="20.25" customHeight="1">
      <c r="A1" s="153" t="s">
        <v>534</v>
      </c>
      <c r="B1" s="154"/>
      <c r="C1" s="154"/>
      <c r="D1" s="154"/>
      <c r="E1" s="154"/>
      <c r="F1" s="154"/>
      <c r="G1" s="154"/>
    </row>
    <row r="2" spans="1:12" ht="20.25" customHeight="1">
      <c r="A2" s="155"/>
      <c r="B2" s="156"/>
      <c r="C2" s="156"/>
      <c r="D2" s="156"/>
      <c r="E2" s="156"/>
      <c r="F2" s="156"/>
      <c r="G2" s="156"/>
    </row>
    <row r="3" spans="1:12" ht="20.25" customHeight="1">
      <c r="A3" s="457" t="s">
        <v>1054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  <c r="L3" s="457"/>
    </row>
    <row r="4" spans="1:12" ht="20.25" customHeight="1">
      <c r="A4" s="158"/>
      <c r="B4" s="158"/>
      <c r="C4" s="157"/>
      <c r="D4" s="157"/>
      <c r="E4" s="158"/>
      <c r="F4" s="158"/>
      <c r="G4" s="159"/>
      <c r="H4" s="160"/>
      <c r="I4" s="160"/>
      <c r="J4" s="160"/>
      <c r="K4" s="160"/>
      <c r="L4" s="160"/>
    </row>
    <row r="5" spans="1:12" ht="20.25" customHeight="1">
      <c r="A5" s="161" t="s">
        <v>172</v>
      </c>
      <c r="B5" s="458" t="s">
        <v>535</v>
      </c>
      <c r="C5" s="458"/>
      <c r="D5" s="458"/>
      <c r="E5" s="458"/>
      <c r="F5" s="458"/>
      <c r="G5" s="458"/>
      <c r="H5" s="162"/>
      <c r="I5" s="459" t="s">
        <v>536</v>
      </c>
      <c r="J5" s="459"/>
      <c r="K5" s="459"/>
      <c r="L5" s="459"/>
    </row>
    <row r="6" spans="1:12" ht="20.25" customHeight="1">
      <c r="A6" s="163" t="s">
        <v>537</v>
      </c>
      <c r="B6" s="164" t="s">
        <v>538</v>
      </c>
      <c r="C6" s="165" t="s">
        <v>539</v>
      </c>
      <c r="D6" s="165" t="s">
        <v>539</v>
      </c>
      <c r="E6" s="165" t="s">
        <v>539</v>
      </c>
      <c r="F6" s="165" t="s">
        <v>539</v>
      </c>
      <c r="G6" s="164" t="s">
        <v>540</v>
      </c>
      <c r="H6" s="166"/>
      <c r="I6" s="163" t="s">
        <v>541</v>
      </c>
      <c r="J6" s="165" t="s">
        <v>542</v>
      </c>
      <c r="K6" s="165" t="s">
        <v>542</v>
      </c>
      <c r="L6" s="163" t="s">
        <v>542</v>
      </c>
    </row>
    <row r="7" spans="1:12" ht="20.25" customHeight="1">
      <c r="A7" s="167"/>
      <c r="B7" s="168">
        <v>42370</v>
      </c>
      <c r="C7" s="415" t="s">
        <v>543</v>
      </c>
      <c r="D7" s="415" t="s">
        <v>544</v>
      </c>
      <c r="E7" s="415" t="s">
        <v>545</v>
      </c>
      <c r="F7" s="415" t="s">
        <v>546</v>
      </c>
      <c r="G7" s="168">
        <v>42735</v>
      </c>
      <c r="H7" s="171"/>
      <c r="I7" s="172" t="s">
        <v>547</v>
      </c>
      <c r="J7" s="173" t="s">
        <v>548</v>
      </c>
      <c r="K7" s="173" t="s">
        <v>549</v>
      </c>
      <c r="L7" s="172" t="s">
        <v>550</v>
      </c>
    </row>
    <row r="8" spans="1:12" ht="20.25" customHeight="1">
      <c r="A8" s="174"/>
      <c r="B8" s="175"/>
      <c r="C8" s="176"/>
      <c r="D8" s="177"/>
      <c r="E8" s="177"/>
      <c r="F8" s="176"/>
      <c r="G8" s="178"/>
      <c r="H8" s="166"/>
      <c r="I8" s="179"/>
      <c r="J8" s="162"/>
      <c r="K8" s="162"/>
      <c r="L8" s="179"/>
    </row>
    <row r="9" spans="1:12" ht="20.25" customHeight="1">
      <c r="A9" s="180" t="s">
        <v>221</v>
      </c>
      <c r="B9" s="181">
        <f t="shared" ref="B9:G9" si="0">SUM(B11,B27,B31,B41,B49,B58,B68,B79,B89,B99,B108,B120,B126,B136,B142)</f>
        <v>71809</v>
      </c>
      <c r="C9" s="181">
        <f t="shared" si="0"/>
        <v>16645</v>
      </c>
      <c r="D9" s="181">
        <f t="shared" si="0"/>
        <v>24832</v>
      </c>
      <c r="E9" s="181">
        <f t="shared" si="0"/>
        <v>18998</v>
      </c>
      <c r="F9" s="181">
        <f t="shared" si="0"/>
        <v>36857</v>
      </c>
      <c r="G9" s="181">
        <f t="shared" si="0"/>
        <v>57431</v>
      </c>
      <c r="H9" s="182"/>
      <c r="I9" s="183">
        <f>SUM(B9:D9)/E9</f>
        <v>5.9630487419728393</v>
      </c>
      <c r="J9" s="184">
        <f>(G9/SUM(B9:D9))*100</f>
        <v>50.695584626520485</v>
      </c>
      <c r="K9" s="184">
        <f>(E9/SUM(B9:D9))*100</f>
        <v>16.769945094716029</v>
      </c>
      <c r="L9" s="185">
        <f>(F9/SUM(B9:D9))*100</f>
        <v>32.534470278763486</v>
      </c>
    </row>
    <row r="10" spans="1:12" s="153" customFormat="1" ht="20.25" customHeight="1">
      <c r="A10" s="186"/>
      <c r="B10" s="181"/>
      <c r="C10" s="181"/>
      <c r="D10" s="181"/>
      <c r="E10" s="181"/>
      <c r="F10" s="181"/>
      <c r="G10" s="181"/>
      <c r="H10" s="182"/>
      <c r="I10" s="187"/>
      <c r="J10" s="188"/>
      <c r="K10" s="188"/>
      <c r="L10" s="189"/>
    </row>
    <row r="11" spans="1:12" s="153" customFormat="1" ht="20.25" customHeight="1">
      <c r="A11" s="190" t="s">
        <v>551</v>
      </c>
      <c r="B11" s="181">
        <f t="shared" ref="B11:G11" si="1">SUM(B12:B25)</f>
        <v>32653</v>
      </c>
      <c r="C11" s="181">
        <f t="shared" si="1"/>
        <v>3504</v>
      </c>
      <c r="D11" s="181">
        <f t="shared" si="1"/>
        <v>13006</v>
      </c>
      <c r="E11" s="181">
        <f t="shared" si="1"/>
        <v>4505</v>
      </c>
      <c r="F11" s="181">
        <f t="shared" si="1"/>
        <v>18779</v>
      </c>
      <c r="G11" s="181">
        <f t="shared" si="1"/>
        <v>25879</v>
      </c>
      <c r="H11" s="182"/>
      <c r="I11" s="183">
        <f t="shared" ref="I11:I25" si="2">SUM(B11:D11)/E11</f>
        <v>10.912985571587125</v>
      </c>
      <c r="J11" s="184">
        <f t="shared" ref="J11:J25" si="3">(G11/SUM(B11:D11))*100</f>
        <v>52.639179871041229</v>
      </c>
      <c r="K11" s="184">
        <f t="shared" ref="K11:K25" si="4">(E11/SUM(B11:D11))*100</f>
        <v>9.1633952362549067</v>
      </c>
      <c r="L11" s="185">
        <f t="shared" ref="L11:L25" si="5">(F11/SUM(B11:D11))*100</f>
        <v>38.197424892703864</v>
      </c>
    </row>
    <row r="12" spans="1:12" s="153" customFormat="1" ht="20.25" customHeight="1">
      <c r="A12" s="191" t="s">
        <v>552</v>
      </c>
      <c r="B12" s="192">
        <v>1817</v>
      </c>
      <c r="C12" s="192">
        <v>402</v>
      </c>
      <c r="D12" s="192">
        <v>1062</v>
      </c>
      <c r="E12" s="192">
        <v>448</v>
      </c>
      <c r="F12" s="192">
        <v>1406</v>
      </c>
      <c r="G12" s="192">
        <v>1427</v>
      </c>
      <c r="H12" s="182"/>
      <c r="I12" s="187">
        <f t="shared" si="2"/>
        <v>7.3236607142857144</v>
      </c>
      <c r="J12" s="188">
        <f t="shared" si="3"/>
        <v>43.492837549527586</v>
      </c>
      <c r="K12" s="188">
        <f t="shared" si="4"/>
        <v>13.654373666565073</v>
      </c>
      <c r="L12" s="189">
        <f t="shared" si="5"/>
        <v>42.85278878390735</v>
      </c>
    </row>
    <row r="13" spans="1:12" s="153" customFormat="1" ht="20.25" customHeight="1">
      <c r="A13" s="191" t="s">
        <v>553</v>
      </c>
      <c r="B13" s="192">
        <v>1998</v>
      </c>
      <c r="C13" s="192">
        <v>404</v>
      </c>
      <c r="D13" s="192">
        <v>1426</v>
      </c>
      <c r="E13" s="192">
        <v>210</v>
      </c>
      <c r="F13" s="192">
        <v>1176</v>
      </c>
      <c r="G13" s="192">
        <v>2442</v>
      </c>
      <c r="H13" s="182"/>
      <c r="I13" s="187">
        <f t="shared" si="2"/>
        <v>18.228571428571428</v>
      </c>
      <c r="J13" s="188">
        <f t="shared" si="3"/>
        <v>63.793103448275865</v>
      </c>
      <c r="K13" s="188">
        <f t="shared" si="4"/>
        <v>5.4858934169279001</v>
      </c>
      <c r="L13" s="189">
        <f t="shared" si="5"/>
        <v>30.721003134796238</v>
      </c>
    </row>
    <row r="14" spans="1:12" s="153" customFormat="1" ht="20.25" customHeight="1">
      <c r="A14" s="191" t="s">
        <v>554</v>
      </c>
      <c r="B14" s="192">
        <v>1960</v>
      </c>
      <c r="C14" s="192">
        <v>427</v>
      </c>
      <c r="D14" s="192">
        <v>1225</v>
      </c>
      <c r="E14" s="192">
        <v>413</v>
      </c>
      <c r="F14" s="192">
        <v>1642</v>
      </c>
      <c r="G14" s="192">
        <v>1557</v>
      </c>
      <c r="H14" s="182"/>
      <c r="I14" s="187">
        <f t="shared" si="2"/>
        <v>8.7457627118644066</v>
      </c>
      <c r="J14" s="188">
        <f t="shared" si="3"/>
        <v>43.106312292358808</v>
      </c>
      <c r="K14" s="188">
        <f t="shared" si="4"/>
        <v>11.434108527131782</v>
      </c>
      <c r="L14" s="189">
        <f t="shared" si="5"/>
        <v>45.459579180509415</v>
      </c>
    </row>
    <row r="15" spans="1:12" s="153" customFormat="1" ht="20.25" customHeight="1">
      <c r="A15" s="191" t="s">
        <v>555</v>
      </c>
      <c r="B15" s="192">
        <v>2157</v>
      </c>
      <c r="C15" s="192">
        <v>390</v>
      </c>
      <c r="D15" s="192">
        <v>1017</v>
      </c>
      <c r="E15" s="192">
        <v>412</v>
      </c>
      <c r="F15" s="192">
        <v>1135</v>
      </c>
      <c r="G15" s="192">
        <v>2017</v>
      </c>
      <c r="H15" s="182"/>
      <c r="I15" s="187">
        <f t="shared" si="2"/>
        <v>8.650485436893204</v>
      </c>
      <c r="J15" s="188">
        <f t="shared" si="3"/>
        <v>56.593714927048254</v>
      </c>
      <c r="K15" s="188">
        <f t="shared" si="4"/>
        <v>11.560044893378226</v>
      </c>
      <c r="L15" s="189">
        <f t="shared" si="5"/>
        <v>31.846240179573513</v>
      </c>
    </row>
    <row r="16" spans="1:12" s="153" customFormat="1" ht="20.25" customHeight="1">
      <c r="A16" s="191" t="s">
        <v>556</v>
      </c>
      <c r="B16" s="192">
        <v>235</v>
      </c>
      <c r="C16" s="192">
        <v>147</v>
      </c>
      <c r="D16" s="192">
        <v>83</v>
      </c>
      <c r="E16" s="192">
        <v>106</v>
      </c>
      <c r="F16" s="192">
        <v>42</v>
      </c>
      <c r="G16" s="192">
        <v>317</v>
      </c>
      <c r="H16" s="182"/>
      <c r="I16" s="187">
        <f t="shared" si="2"/>
        <v>4.3867924528301883</v>
      </c>
      <c r="J16" s="188">
        <f t="shared" si="3"/>
        <v>68.172043010752688</v>
      </c>
      <c r="K16" s="188">
        <f t="shared" si="4"/>
        <v>22.795698924731184</v>
      </c>
      <c r="L16" s="189">
        <f t="shared" si="5"/>
        <v>9.0322580645161281</v>
      </c>
    </row>
    <row r="17" spans="1:12" s="153" customFormat="1" ht="20.25" customHeight="1">
      <c r="A17" s="194" t="s">
        <v>557</v>
      </c>
      <c r="B17" s="192">
        <v>175</v>
      </c>
      <c r="C17" s="192">
        <v>54</v>
      </c>
      <c r="D17" s="192">
        <v>26</v>
      </c>
      <c r="E17" s="192">
        <v>60</v>
      </c>
      <c r="F17" s="192">
        <v>63</v>
      </c>
      <c r="G17" s="192">
        <v>132</v>
      </c>
      <c r="H17" s="182"/>
      <c r="I17" s="187">
        <f t="shared" si="2"/>
        <v>4.25</v>
      </c>
      <c r="J17" s="188">
        <f t="shared" si="3"/>
        <v>51.764705882352949</v>
      </c>
      <c r="K17" s="188">
        <f t="shared" si="4"/>
        <v>23.52941176470588</v>
      </c>
      <c r="L17" s="189">
        <f t="shared" si="5"/>
        <v>24.705882352941178</v>
      </c>
    </row>
    <row r="18" spans="1:12" s="153" customFormat="1" ht="20.25" customHeight="1">
      <c r="A18" s="191" t="s">
        <v>260</v>
      </c>
      <c r="B18" s="192">
        <v>12021</v>
      </c>
      <c r="C18" s="192">
        <v>542</v>
      </c>
      <c r="D18" s="192">
        <v>3611</v>
      </c>
      <c r="E18" s="192">
        <v>1432</v>
      </c>
      <c r="F18" s="192">
        <v>6893</v>
      </c>
      <c r="G18" s="192">
        <v>7849</v>
      </c>
      <c r="H18" s="182"/>
      <c r="I18" s="187">
        <f t="shared" si="2"/>
        <v>11.294692737430168</v>
      </c>
      <c r="J18" s="188">
        <f t="shared" si="3"/>
        <v>48.528502534932613</v>
      </c>
      <c r="K18" s="188">
        <f t="shared" si="4"/>
        <v>8.8537158402374185</v>
      </c>
      <c r="L18" s="189">
        <f t="shared" si="5"/>
        <v>42.617781624829973</v>
      </c>
    </row>
    <row r="19" spans="1:12" s="153" customFormat="1" ht="20.25" customHeight="1">
      <c r="A19" s="191" t="s">
        <v>261</v>
      </c>
      <c r="B19" s="192">
        <v>11219</v>
      </c>
      <c r="C19" s="192">
        <v>552</v>
      </c>
      <c r="D19" s="192">
        <v>4495</v>
      </c>
      <c r="E19" s="192">
        <v>766</v>
      </c>
      <c r="F19" s="192">
        <v>6254</v>
      </c>
      <c r="G19" s="192">
        <v>9246</v>
      </c>
      <c r="H19" s="182"/>
      <c r="I19" s="187">
        <f t="shared" si="2"/>
        <v>21.234986945169712</v>
      </c>
      <c r="J19" s="188">
        <f t="shared" si="3"/>
        <v>56.842493544817408</v>
      </c>
      <c r="K19" s="188">
        <f t="shared" si="4"/>
        <v>4.7092093938276163</v>
      </c>
      <c r="L19" s="189">
        <f t="shared" si="5"/>
        <v>38.448297061354978</v>
      </c>
    </row>
    <row r="20" spans="1:12" s="153" customFormat="1" ht="20.25" customHeight="1">
      <c r="A20" s="191" t="s">
        <v>262</v>
      </c>
      <c r="B20" s="192">
        <v>46</v>
      </c>
      <c r="C20" s="192">
        <v>45</v>
      </c>
      <c r="D20" s="192">
        <v>4</v>
      </c>
      <c r="E20" s="192">
        <v>36</v>
      </c>
      <c r="F20" s="192">
        <v>39</v>
      </c>
      <c r="G20" s="192">
        <v>20</v>
      </c>
      <c r="H20" s="182"/>
      <c r="I20" s="187">
        <f t="shared" si="2"/>
        <v>2.6388888888888888</v>
      </c>
      <c r="J20" s="188">
        <f t="shared" si="3"/>
        <v>21.052631578947366</v>
      </c>
      <c r="K20" s="188">
        <f t="shared" si="4"/>
        <v>37.894736842105267</v>
      </c>
      <c r="L20" s="189">
        <f t="shared" si="5"/>
        <v>41.05263157894737</v>
      </c>
    </row>
    <row r="21" spans="1:12" s="153" customFormat="1" ht="20.25" customHeight="1">
      <c r="A21" s="191" t="s">
        <v>263</v>
      </c>
      <c r="B21" s="192">
        <v>206</v>
      </c>
      <c r="C21" s="192">
        <v>58</v>
      </c>
      <c r="D21" s="192">
        <v>11</v>
      </c>
      <c r="E21" s="192">
        <v>54</v>
      </c>
      <c r="F21" s="192">
        <v>57</v>
      </c>
      <c r="G21" s="192">
        <v>164</v>
      </c>
      <c r="H21" s="182"/>
      <c r="I21" s="187">
        <f t="shared" si="2"/>
        <v>5.0925925925925926</v>
      </c>
      <c r="J21" s="188">
        <f t="shared" si="3"/>
        <v>59.636363636363633</v>
      </c>
      <c r="K21" s="188">
        <f t="shared" si="4"/>
        <v>19.636363636363637</v>
      </c>
      <c r="L21" s="189">
        <f t="shared" si="5"/>
        <v>20.727272727272727</v>
      </c>
    </row>
    <row r="22" spans="1:12" s="153" customFormat="1" ht="20.25" customHeight="1">
      <c r="A22" s="191" t="s">
        <v>264</v>
      </c>
      <c r="B22" s="192">
        <v>75</v>
      </c>
      <c r="C22" s="192">
        <v>5</v>
      </c>
      <c r="D22" s="192">
        <v>0</v>
      </c>
      <c r="E22" s="192">
        <v>11</v>
      </c>
      <c r="F22" s="192">
        <v>61</v>
      </c>
      <c r="G22" s="192">
        <v>8</v>
      </c>
      <c r="H22" s="182"/>
      <c r="I22" s="187">
        <f t="shared" si="2"/>
        <v>7.2727272727272725</v>
      </c>
      <c r="J22" s="188">
        <f t="shared" si="3"/>
        <v>10</v>
      </c>
      <c r="K22" s="188">
        <f t="shared" si="4"/>
        <v>13.750000000000002</v>
      </c>
      <c r="L22" s="189">
        <f t="shared" si="5"/>
        <v>76.25</v>
      </c>
    </row>
    <row r="23" spans="1:12" s="153" customFormat="1" ht="20.25" customHeight="1">
      <c r="A23" s="191" t="s">
        <v>265</v>
      </c>
      <c r="B23" s="192">
        <v>196</v>
      </c>
      <c r="C23" s="192">
        <v>207</v>
      </c>
      <c r="D23" s="192">
        <v>1</v>
      </c>
      <c r="E23" s="192">
        <v>221</v>
      </c>
      <c r="F23" s="192">
        <v>0</v>
      </c>
      <c r="G23" s="192">
        <v>183</v>
      </c>
      <c r="H23" s="182"/>
      <c r="I23" s="187">
        <f t="shared" si="2"/>
        <v>1.8280542986425339</v>
      </c>
      <c r="J23" s="188">
        <f t="shared" si="3"/>
        <v>45.297029702970299</v>
      </c>
      <c r="K23" s="188">
        <f t="shared" si="4"/>
        <v>54.702970297029708</v>
      </c>
      <c r="L23" s="189">
        <f t="shared" si="5"/>
        <v>0</v>
      </c>
    </row>
    <row r="24" spans="1:12" s="153" customFormat="1" ht="20.25" customHeight="1">
      <c r="A24" s="191" t="s">
        <v>266</v>
      </c>
      <c r="B24" s="192">
        <v>59</v>
      </c>
      <c r="C24" s="192">
        <v>142</v>
      </c>
      <c r="D24" s="192">
        <v>26</v>
      </c>
      <c r="E24" s="192">
        <v>121</v>
      </c>
      <c r="F24" s="192">
        <v>11</v>
      </c>
      <c r="G24" s="192">
        <v>95</v>
      </c>
      <c r="H24" s="182"/>
      <c r="I24" s="187">
        <f t="shared" si="2"/>
        <v>1.8760330578512396</v>
      </c>
      <c r="J24" s="188">
        <f t="shared" si="3"/>
        <v>41.85022026431718</v>
      </c>
      <c r="K24" s="188">
        <f t="shared" si="4"/>
        <v>53.303964757709252</v>
      </c>
      <c r="L24" s="189">
        <f t="shared" si="5"/>
        <v>4.8458149779735686</v>
      </c>
    </row>
    <row r="25" spans="1:12" s="153" customFormat="1" ht="20.25" customHeight="1">
      <c r="A25" s="191" t="s">
        <v>267</v>
      </c>
      <c r="B25" s="192">
        <v>489</v>
      </c>
      <c r="C25" s="192">
        <v>129</v>
      </c>
      <c r="D25" s="192">
        <v>19</v>
      </c>
      <c r="E25" s="192">
        <v>215</v>
      </c>
      <c r="F25" s="192">
        <v>0</v>
      </c>
      <c r="G25" s="192">
        <v>422</v>
      </c>
      <c r="H25" s="182"/>
      <c r="I25" s="187">
        <f t="shared" si="2"/>
        <v>2.9627906976744187</v>
      </c>
      <c r="J25" s="188">
        <f t="shared" si="3"/>
        <v>66.248037676609101</v>
      </c>
      <c r="K25" s="188">
        <f t="shared" si="4"/>
        <v>33.751962323390892</v>
      </c>
      <c r="L25" s="189">
        <f t="shared" si="5"/>
        <v>0</v>
      </c>
    </row>
    <row r="26" spans="1:12" s="153" customFormat="1" ht="20.25" customHeight="1">
      <c r="A26" s="194"/>
      <c r="B26" s="192"/>
      <c r="C26" s="192"/>
      <c r="D26" s="192"/>
      <c r="E26" s="192"/>
      <c r="F26" s="192"/>
      <c r="G26" s="192"/>
      <c r="H26" s="182"/>
      <c r="I26" s="187"/>
      <c r="J26" s="188"/>
      <c r="K26" s="188"/>
      <c r="L26" s="189"/>
    </row>
    <row r="27" spans="1:12" s="153" customFormat="1" ht="20.25" customHeight="1">
      <c r="A27" s="190" t="s">
        <v>268</v>
      </c>
      <c r="B27" s="181">
        <f t="shared" ref="B27:G27" si="6">SUM(B28:B29)</f>
        <v>2845</v>
      </c>
      <c r="C27" s="181">
        <f t="shared" si="6"/>
        <v>1879</v>
      </c>
      <c r="D27" s="181">
        <f t="shared" si="6"/>
        <v>703</v>
      </c>
      <c r="E27" s="181">
        <f t="shared" si="6"/>
        <v>1135</v>
      </c>
      <c r="F27" s="181">
        <f t="shared" si="6"/>
        <v>1176</v>
      </c>
      <c r="G27" s="181">
        <f t="shared" si="6"/>
        <v>3116</v>
      </c>
      <c r="H27" s="182"/>
      <c r="I27" s="183">
        <f>SUM(B27:D27)/E27</f>
        <v>4.7814977973568284</v>
      </c>
      <c r="J27" s="184">
        <f>(G27/SUM(B27:D27))*100</f>
        <v>57.416620600700206</v>
      </c>
      <c r="K27" s="184">
        <f>(E27/SUM(B27:D27))*100</f>
        <v>20.913948774645291</v>
      </c>
      <c r="L27" s="185">
        <f>(F27/SUM(B27:D27))*100</f>
        <v>21.669430624654506</v>
      </c>
    </row>
    <row r="28" spans="1:12" s="153" customFormat="1" ht="20.25" customHeight="1">
      <c r="A28" s="194" t="s">
        <v>269</v>
      </c>
      <c r="B28" s="192">
        <v>1457</v>
      </c>
      <c r="C28" s="192">
        <v>815</v>
      </c>
      <c r="D28" s="192">
        <v>528</v>
      </c>
      <c r="E28" s="192">
        <v>571</v>
      </c>
      <c r="F28" s="192">
        <v>696</v>
      </c>
      <c r="G28" s="192">
        <v>1533</v>
      </c>
      <c r="H28" s="182"/>
      <c r="I28" s="187">
        <f>SUM(B28:D28)/E28</f>
        <v>4.9036777583187394</v>
      </c>
      <c r="J28" s="188">
        <f>(G28/SUM(B28:D28))*100</f>
        <v>54.75</v>
      </c>
      <c r="K28" s="188">
        <f>(E28/SUM(B28:D28))*100</f>
        <v>20.392857142857142</v>
      </c>
      <c r="L28" s="189">
        <f>(F28/SUM(B28:D28))*100</f>
        <v>24.857142857142858</v>
      </c>
    </row>
    <row r="29" spans="1:12" s="153" customFormat="1" ht="20.25" customHeight="1">
      <c r="A29" s="194" t="s">
        <v>270</v>
      </c>
      <c r="B29" s="192">
        <v>1388</v>
      </c>
      <c r="C29" s="192">
        <v>1064</v>
      </c>
      <c r="D29" s="192">
        <v>175</v>
      </c>
      <c r="E29" s="192">
        <v>564</v>
      </c>
      <c r="F29" s="192">
        <v>480</v>
      </c>
      <c r="G29" s="192">
        <v>1583</v>
      </c>
      <c r="H29" s="182"/>
      <c r="I29" s="187">
        <f>SUM(B29:D29)/E29</f>
        <v>4.6578014184397167</v>
      </c>
      <c r="J29" s="188">
        <f>(G29/SUM(B29:D29))*100</f>
        <v>60.258850399695476</v>
      </c>
      <c r="K29" s="188">
        <f>(E29/SUM(B29:D29))*100</f>
        <v>21.469356680624287</v>
      </c>
      <c r="L29" s="189">
        <f>(F29/SUM(B29:D29))*100</f>
        <v>18.271792919680244</v>
      </c>
    </row>
    <row r="30" spans="1:12" s="153" customFormat="1" ht="20.25" customHeight="1">
      <c r="A30" s="194"/>
      <c r="B30" s="192"/>
      <c r="C30" s="192"/>
      <c r="D30" s="192"/>
      <c r="E30" s="192"/>
      <c r="F30" s="192"/>
      <c r="G30" s="192"/>
      <c r="H30" s="182"/>
      <c r="I30" s="187"/>
      <c r="J30" s="188"/>
      <c r="K30" s="188"/>
      <c r="L30" s="189"/>
    </row>
    <row r="31" spans="1:12" s="153" customFormat="1" ht="20.25" customHeight="1">
      <c r="A31" s="190" t="s">
        <v>271</v>
      </c>
      <c r="B31" s="181">
        <f t="shared" ref="B31:G31" si="7">SUM(B32:B39)</f>
        <v>2177</v>
      </c>
      <c r="C31" s="181">
        <f t="shared" si="7"/>
        <v>1394</v>
      </c>
      <c r="D31" s="181">
        <f t="shared" si="7"/>
        <v>479</v>
      </c>
      <c r="E31" s="181">
        <f t="shared" si="7"/>
        <v>1068</v>
      </c>
      <c r="F31" s="181">
        <f t="shared" si="7"/>
        <v>579</v>
      </c>
      <c r="G31" s="181">
        <f t="shared" si="7"/>
        <v>2403</v>
      </c>
      <c r="H31" s="182"/>
      <c r="I31" s="183">
        <f t="shared" ref="I31:I39" si="8">SUM(B31:D31)/E31</f>
        <v>3.792134831460674</v>
      </c>
      <c r="J31" s="184">
        <f t="shared" ref="J31:J39" si="9">(G31/SUM(B31:D31))*100</f>
        <v>59.333333333333336</v>
      </c>
      <c r="K31" s="184">
        <f t="shared" ref="K31:K39" si="10">(E31/SUM(B31:D31))*100</f>
        <v>26.37037037037037</v>
      </c>
      <c r="L31" s="185">
        <f t="shared" ref="L31:L39" si="11">(F31/SUM(B31:D31))*100</f>
        <v>14.296296296296296</v>
      </c>
    </row>
    <row r="32" spans="1:12" s="153" customFormat="1" ht="20.25" customHeight="1">
      <c r="A32" s="191" t="s">
        <v>272</v>
      </c>
      <c r="B32" s="192">
        <v>697</v>
      </c>
      <c r="C32" s="192">
        <v>313</v>
      </c>
      <c r="D32" s="192">
        <v>357</v>
      </c>
      <c r="E32" s="192">
        <v>156</v>
      </c>
      <c r="F32" s="192">
        <v>239</v>
      </c>
      <c r="G32" s="192">
        <v>972</v>
      </c>
      <c r="H32" s="182"/>
      <c r="I32" s="187">
        <f t="shared" si="8"/>
        <v>8.7628205128205128</v>
      </c>
      <c r="J32" s="188">
        <f t="shared" si="9"/>
        <v>71.104608632040964</v>
      </c>
      <c r="K32" s="188">
        <f t="shared" si="10"/>
        <v>11.41185076810534</v>
      </c>
      <c r="L32" s="189">
        <f t="shared" si="11"/>
        <v>17.483540599853693</v>
      </c>
    </row>
    <row r="33" spans="1:12" s="153" customFormat="1" ht="20.25" customHeight="1">
      <c r="A33" s="191" t="s">
        <v>273</v>
      </c>
      <c r="B33" s="192">
        <v>505</v>
      </c>
      <c r="C33" s="192">
        <v>168</v>
      </c>
      <c r="D33" s="192">
        <v>14</v>
      </c>
      <c r="E33" s="192">
        <v>110</v>
      </c>
      <c r="F33" s="192">
        <v>137</v>
      </c>
      <c r="G33" s="192">
        <v>440</v>
      </c>
      <c r="H33" s="182"/>
      <c r="I33" s="192">
        <f t="shared" si="8"/>
        <v>6.2454545454545451</v>
      </c>
      <c r="J33" s="188">
        <f t="shared" si="9"/>
        <v>64.046579330422134</v>
      </c>
      <c r="K33" s="188">
        <f t="shared" si="10"/>
        <v>16.011644832605533</v>
      </c>
      <c r="L33" s="189">
        <f t="shared" si="11"/>
        <v>19.941775836972344</v>
      </c>
    </row>
    <row r="34" spans="1:12" s="153" customFormat="1" ht="20.25" customHeight="1">
      <c r="A34" s="191" t="s">
        <v>274</v>
      </c>
      <c r="B34" s="192">
        <v>379</v>
      </c>
      <c r="C34" s="192">
        <v>426</v>
      </c>
      <c r="D34" s="192">
        <v>63</v>
      </c>
      <c r="E34" s="192">
        <v>262</v>
      </c>
      <c r="F34" s="192">
        <v>123</v>
      </c>
      <c r="G34" s="192">
        <v>483</v>
      </c>
      <c r="H34" s="182"/>
      <c r="I34" s="187">
        <f t="shared" si="8"/>
        <v>3.3129770992366412</v>
      </c>
      <c r="J34" s="188">
        <f t="shared" si="9"/>
        <v>55.645161290322577</v>
      </c>
      <c r="K34" s="188">
        <f t="shared" si="10"/>
        <v>30.184331797235025</v>
      </c>
      <c r="L34" s="189">
        <f t="shared" si="11"/>
        <v>14.170506912442397</v>
      </c>
    </row>
    <row r="35" spans="1:12" s="153" customFormat="1" ht="20.25" customHeight="1">
      <c r="A35" s="191" t="s">
        <v>275</v>
      </c>
      <c r="B35" s="192">
        <v>103</v>
      </c>
      <c r="C35" s="192">
        <v>133</v>
      </c>
      <c r="D35" s="192">
        <v>13</v>
      </c>
      <c r="E35" s="192">
        <v>103</v>
      </c>
      <c r="F35" s="192">
        <v>31</v>
      </c>
      <c r="G35" s="192">
        <v>115</v>
      </c>
      <c r="H35" s="182"/>
      <c r="I35" s="187">
        <f t="shared" si="8"/>
        <v>2.4174757281553396</v>
      </c>
      <c r="J35" s="188">
        <f t="shared" si="9"/>
        <v>46.184738955823299</v>
      </c>
      <c r="K35" s="188">
        <f t="shared" si="10"/>
        <v>41.365461847389554</v>
      </c>
      <c r="L35" s="189">
        <f t="shared" si="11"/>
        <v>12.449799196787147</v>
      </c>
    </row>
    <row r="36" spans="1:12" s="153" customFormat="1" ht="20.25" customHeight="1">
      <c r="A36" s="191" t="s">
        <v>276</v>
      </c>
      <c r="B36" s="192">
        <v>60</v>
      </c>
      <c r="C36" s="192">
        <v>116</v>
      </c>
      <c r="D36" s="192">
        <v>7</v>
      </c>
      <c r="E36" s="192">
        <v>107</v>
      </c>
      <c r="F36" s="192">
        <v>6</v>
      </c>
      <c r="G36" s="192">
        <v>70</v>
      </c>
      <c r="H36" s="182"/>
      <c r="I36" s="187">
        <f t="shared" si="8"/>
        <v>1.7102803738317758</v>
      </c>
      <c r="J36" s="188">
        <f t="shared" si="9"/>
        <v>38.251366120218577</v>
      </c>
      <c r="K36" s="188">
        <f t="shared" si="10"/>
        <v>58.469945355191257</v>
      </c>
      <c r="L36" s="189">
        <f t="shared" si="11"/>
        <v>3.278688524590164</v>
      </c>
    </row>
    <row r="37" spans="1:12" s="153" customFormat="1" ht="20.25" customHeight="1">
      <c r="A37" s="191" t="s">
        <v>277</v>
      </c>
      <c r="B37" s="192">
        <v>267</v>
      </c>
      <c r="C37" s="192">
        <v>118</v>
      </c>
      <c r="D37" s="192">
        <v>16</v>
      </c>
      <c r="E37" s="192">
        <v>188</v>
      </c>
      <c r="F37" s="192">
        <v>30</v>
      </c>
      <c r="G37" s="192">
        <v>183</v>
      </c>
      <c r="H37" s="182"/>
      <c r="I37" s="187">
        <f t="shared" si="8"/>
        <v>2.1329787234042552</v>
      </c>
      <c r="J37" s="188">
        <f t="shared" si="9"/>
        <v>45.635910224438902</v>
      </c>
      <c r="K37" s="188">
        <f t="shared" si="10"/>
        <v>46.882793017456358</v>
      </c>
      <c r="L37" s="189">
        <f t="shared" si="11"/>
        <v>7.4812967581047385</v>
      </c>
    </row>
    <row r="38" spans="1:12" s="153" customFormat="1" ht="20.25" customHeight="1">
      <c r="A38" s="191" t="s">
        <v>278</v>
      </c>
      <c r="B38" s="192">
        <v>131</v>
      </c>
      <c r="C38" s="192">
        <v>101</v>
      </c>
      <c r="D38" s="192">
        <v>8</v>
      </c>
      <c r="E38" s="192">
        <v>109</v>
      </c>
      <c r="F38" s="192">
        <v>5</v>
      </c>
      <c r="G38" s="192">
        <v>126</v>
      </c>
      <c r="H38" s="182"/>
      <c r="I38" s="187">
        <f t="shared" si="8"/>
        <v>2.2018348623853212</v>
      </c>
      <c r="J38" s="188">
        <f t="shared" si="9"/>
        <v>52.5</v>
      </c>
      <c r="K38" s="188">
        <f t="shared" si="10"/>
        <v>45.416666666666664</v>
      </c>
      <c r="L38" s="189">
        <f t="shared" si="11"/>
        <v>2.083333333333333</v>
      </c>
    </row>
    <row r="39" spans="1:12" s="153" customFormat="1" ht="20.25" customHeight="1">
      <c r="A39" s="191" t="s">
        <v>279</v>
      </c>
      <c r="B39" s="192">
        <v>35</v>
      </c>
      <c r="C39" s="192">
        <v>19</v>
      </c>
      <c r="D39" s="192">
        <v>1</v>
      </c>
      <c r="E39" s="192">
        <v>33</v>
      </c>
      <c r="F39" s="192">
        <v>8</v>
      </c>
      <c r="G39" s="192">
        <v>14</v>
      </c>
      <c r="H39" s="182"/>
      <c r="I39" s="187">
        <f t="shared" si="8"/>
        <v>1.6666666666666667</v>
      </c>
      <c r="J39" s="188">
        <f t="shared" si="9"/>
        <v>25.454545454545453</v>
      </c>
      <c r="K39" s="188">
        <f t="shared" si="10"/>
        <v>60</v>
      </c>
      <c r="L39" s="189">
        <f t="shared" si="11"/>
        <v>14.545454545454545</v>
      </c>
    </row>
    <row r="40" spans="1:12" ht="20.25" customHeight="1">
      <c r="A40" s="195"/>
      <c r="B40" s="196"/>
      <c r="C40" s="192"/>
      <c r="D40" s="192"/>
      <c r="E40" s="196"/>
      <c r="F40" s="196"/>
      <c r="G40" s="196"/>
      <c r="H40" s="182"/>
      <c r="I40" s="187"/>
      <c r="J40" s="188"/>
      <c r="K40" s="188"/>
      <c r="L40" s="189"/>
    </row>
    <row r="41" spans="1:12" s="153" customFormat="1" ht="20.25" customHeight="1">
      <c r="A41" s="190" t="s">
        <v>280</v>
      </c>
      <c r="B41" s="181">
        <f t="shared" ref="B41:G41" si="12">SUM(B42:B47)</f>
        <v>2510</v>
      </c>
      <c r="C41" s="181">
        <f t="shared" si="12"/>
        <v>1219</v>
      </c>
      <c r="D41" s="181">
        <f t="shared" si="12"/>
        <v>1050</v>
      </c>
      <c r="E41" s="181">
        <f t="shared" si="12"/>
        <v>997</v>
      </c>
      <c r="F41" s="181">
        <f t="shared" si="12"/>
        <v>1434</v>
      </c>
      <c r="G41" s="181">
        <f t="shared" si="12"/>
        <v>2348</v>
      </c>
      <c r="H41" s="182"/>
      <c r="I41" s="183">
        <f t="shared" ref="I41:I47" si="13">SUM(B41:D41)/E41</f>
        <v>4.7933801404212639</v>
      </c>
      <c r="J41" s="184">
        <f t="shared" ref="J41:J47" si="14">(G41/SUM(B41:D41))*100</f>
        <v>49.131617493199414</v>
      </c>
      <c r="K41" s="184">
        <f t="shared" ref="K41:K47" si="15">(E41/SUM(B41:D41))*100</f>
        <v>20.862105042896005</v>
      </c>
      <c r="L41" s="185">
        <f t="shared" ref="L41:L47" si="16">(F41/SUM(B41:D41))*100</f>
        <v>30.006277463904585</v>
      </c>
    </row>
    <row r="42" spans="1:12" s="153" customFormat="1" ht="20.25" customHeight="1">
      <c r="A42" s="191" t="s">
        <v>281</v>
      </c>
      <c r="B42" s="192">
        <v>1361</v>
      </c>
      <c r="C42" s="192">
        <v>578</v>
      </c>
      <c r="D42" s="192">
        <v>696</v>
      </c>
      <c r="E42" s="192">
        <v>418</v>
      </c>
      <c r="F42" s="192">
        <v>798</v>
      </c>
      <c r="G42" s="192">
        <v>1419</v>
      </c>
      <c r="H42" s="182"/>
      <c r="I42" s="187">
        <f t="shared" si="13"/>
        <v>6.303827751196172</v>
      </c>
      <c r="J42" s="188">
        <f t="shared" si="14"/>
        <v>53.851992409867179</v>
      </c>
      <c r="K42" s="188">
        <f t="shared" si="15"/>
        <v>15.863377609108159</v>
      </c>
      <c r="L42" s="189">
        <f t="shared" si="16"/>
        <v>30.284629981024668</v>
      </c>
    </row>
    <row r="43" spans="1:12" s="153" customFormat="1" ht="20.25" customHeight="1">
      <c r="A43" s="191" t="s">
        <v>282</v>
      </c>
      <c r="B43" s="192">
        <v>900</v>
      </c>
      <c r="C43" s="192">
        <v>518</v>
      </c>
      <c r="D43" s="192">
        <v>313</v>
      </c>
      <c r="E43" s="192">
        <v>469</v>
      </c>
      <c r="F43" s="192">
        <v>555</v>
      </c>
      <c r="G43" s="192">
        <v>707</v>
      </c>
      <c r="H43" s="182"/>
      <c r="I43" s="187">
        <f t="shared" si="13"/>
        <v>3.6908315565031984</v>
      </c>
      <c r="J43" s="188">
        <f t="shared" si="14"/>
        <v>40.843443096476022</v>
      </c>
      <c r="K43" s="188">
        <f t="shared" si="15"/>
        <v>27.094165222414791</v>
      </c>
      <c r="L43" s="189">
        <f t="shared" si="16"/>
        <v>32.06239168110919</v>
      </c>
    </row>
    <row r="44" spans="1:12" s="153" customFormat="1" ht="20.25" customHeight="1">
      <c r="A44" s="191" t="s">
        <v>283</v>
      </c>
      <c r="B44" s="192">
        <v>42</v>
      </c>
      <c r="C44" s="192">
        <v>17</v>
      </c>
      <c r="D44" s="192">
        <v>12</v>
      </c>
      <c r="E44" s="192">
        <v>15</v>
      </c>
      <c r="F44" s="192">
        <v>17</v>
      </c>
      <c r="G44" s="192">
        <v>39</v>
      </c>
      <c r="H44" s="182"/>
      <c r="I44" s="187">
        <f t="shared" si="13"/>
        <v>4.7333333333333334</v>
      </c>
      <c r="J44" s="188">
        <f t="shared" si="14"/>
        <v>54.929577464788736</v>
      </c>
      <c r="K44" s="188">
        <f t="shared" si="15"/>
        <v>21.12676056338028</v>
      </c>
      <c r="L44" s="189">
        <f t="shared" si="16"/>
        <v>23.943661971830984</v>
      </c>
    </row>
    <row r="45" spans="1:12" s="153" customFormat="1" ht="20.25" customHeight="1">
      <c r="A45" s="191" t="s">
        <v>284</v>
      </c>
      <c r="B45" s="192">
        <v>113</v>
      </c>
      <c r="C45" s="192">
        <v>42</v>
      </c>
      <c r="D45" s="192">
        <v>4</v>
      </c>
      <c r="E45" s="192">
        <v>28</v>
      </c>
      <c r="F45" s="192">
        <v>19</v>
      </c>
      <c r="G45" s="192">
        <v>112</v>
      </c>
      <c r="H45" s="182"/>
      <c r="I45" s="187">
        <f t="shared" si="13"/>
        <v>5.6785714285714288</v>
      </c>
      <c r="J45" s="188">
        <f t="shared" si="14"/>
        <v>70.440251572327043</v>
      </c>
      <c r="K45" s="188">
        <f t="shared" si="15"/>
        <v>17.610062893081761</v>
      </c>
      <c r="L45" s="189">
        <f t="shared" si="16"/>
        <v>11.949685534591195</v>
      </c>
    </row>
    <row r="46" spans="1:12" s="153" customFormat="1" ht="20.25" customHeight="1">
      <c r="A46" s="191" t="s">
        <v>285</v>
      </c>
      <c r="B46" s="192">
        <v>25</v>
      </c>
      <c r="C46" s="192">
        <v>9</v>
      </c>
      <c r="D46" s="192">
        <v>0</v>
      </c>
      <c r="E46" s="192">
        <v>10</v>
      </c>
      <c r="F46" s="192">
        <v>1</v>
      </c>
      <c r="G46" s="192">
        <v>23</v>
      </c>
      <c r="H46" s="182"/>
      <c r="I46" s="187">
        <f t="shared" si="13"/>
        <v>3.4</v>
      </c>
      <c r="J46" s="188">
        <f t="shared" si="14"/>
        <v>67.64705882352942</v>
      </c>
      <c r="K46" s="188">
        <f t="shared" si="15"/>
        <v>29.411764705882355</v>
      </c>
      <c r="L46" s="189">
        <f t="shared" si="16"/>
        <v>2.9411764705882351</v>
      </c>
    </row>
    <row r="47" spans="1:12" s="153" customFormat="1" ht="20.25" customHeight="1">
      <c r="A47" s="191" t="s">
        <v>286</v>
      </c>
      <c r="B47" s="192">
        <v>69</v>
      </c>
      <c r="C47" s="192">
        <v>55</v>
      </c>
      <c r="D47" s="192">
        <v>25</v>
      </c>
      <c r="E47" s="192">
        <v>57</v>
      </c>
      <c r="F47" s="192">
        <v>44</v>
      </c>
      <c r="G47" s="192">
        <v>48</v>
      </c>
      <c r="H47" s="182"/>
      <c r="I47" s="187">
        <f t="shared" si="13"/>
        <v>2.6140350877192984</v>
      </c>
      <c r="J47" s="188">
        <f t="shared" si="14"/>
        <v>32.214765100671137</v>
      </c>
      <c r="K47" s="188">
        <f t="shared" si="15"/>
        <v>38.255033557046978</v>
      </c>
      <c r="L47" s="189">
        <f t="shared" si="16"/>
        <v>29.530201342281881</v>
      </c>
    </row>
    <row r="48" spans="1:12" s="153" customFormat="1" ht="20.25" customHeight="1">
      <c r="A48" s="194"/>
      <c r="B48" s="192"/>
      <c r="C48" s="192"/>
      <c r="D48" s="192"/>
      <c r="E48" s="192"/>
      <c r="F48" s="192"/>
      <c r="G48" s="192"/>
      <c r="H48" s="182"/>
      <c r="I48" s="187"/>
      <c r="J48" s="188"/>
      <c r="K48" s="188"/>
      <c r="L48" s="189"/>
    </row>
    <row r="49" spans="1:12" s="153" customFormat="1" ht="20.25" customHeight="1">
      <c r="A49" s="190" t="s">
        <v>287</v>
      </c>
      <c r="B49" s="181">
        <f t="shared" ref="B49:G49" si="17">SUM(B50:B56)</f>
        <v>1507</v>
      </c>
      <c r="C49" s="181">
        <f t="shared" si="17"/>
        <v>595</v>
      </c>
      <c r="D49" s="181">
        <f t="shared" si="17"/>
        <v>529</v>
      </c>
      <c r="E49" s="181">
        <f t="shared" si="17"/>
        <v>640</v>
      </c>
      <c r="F49" s="181">
        <f t="shared" si="17"/>
        <v>394</v>
      </c>
      <c r="G49" s="181">
        <f t="shared" si="17"/>
        <v>1597</v>
      </c>
      <c r="H49" s="182"/>
      <c r="I49" s="183">
        <f t="shared" ref="I49:I56" si="18">SUM(B49:D49)/E49</f>
        <v>4.1109375000000004</v>
      </c>
      <c r="J49" s="184">
        <f t="shared" ref="J49:J56" si="19">(G49/SUM(B49:D49))*100</f>
        <v>60.699353857848728</v>
      </c>
      <c r="K49" s="184">
        <f t="shared" ref="K49:K56" si="20">(E49/SUM(B49:D49))*100</f>
        <v>24.325351577347014</v>
      </c>
      <c r="L49" s="185">
        <f t="shared" ref="L49:L56" si="21">(F49/SUM(B49:D49))*100</f>
        <v>14.975294564804257</v>
      </c>
    </row>
    <row r="50" spans="1:12" s="153" customFormat="1" ht="20.25" customHeight="1">
      <c r="A50" s="191" t="s">
        <v>288</v>
      </c>
      <c r="B50" s="193">
        <v>849</v>
      </c>
      <c r="C50" s="193">
        <v>291</v>
      </c>
      <c r="D50" s="193">
        <v>358</v>
      </c>
      <c r="E50" s="193">
        <v>316</v>
      </c>
      <c r="F50" s="193">
        <v>212</v>
      </c>
      <c r="G50" s="192">
        <v>970</v>
      </c>
      <c r="H50" s="182"/>
      <c r="I50" s="187">
        <f t="shared" si="18"/>
        <v>4.7405063291139244</v>
      </c>
      <c r="J50" s="188">
        <f t="shared" si="19"/>
        <v>64.753004005340458</v>
      </c>
      <c r="K50" s="188">
        <f t="shared" si="20"/>
        <v>21.094793057409881</v>
      </c>
      <c r="L50" s="189">
        <f t="shared" si="21"/>
        <v>14.152202937249667</v>
      </c>
    </row>
    <row r="51" spans="1:12" s="153" customFormat="1" ht="20.25" customHeight="1">
      <c r="A51" s="191" t="s">
        <v>428</v>
      </c>
      <c r="B51" s="193">
        <v>119</v>
      </c>
      <c r="C51" s="193">
        <v>94</v>
      </c>
      <c r="D51" s="193">
        <v>25</v>
      </c>
      <c r="E51" s="193">
        <v>27</v>
      </c>
      <c r="F51" s="193">
        <v>16</v>
      </c>
      <c r="G51" s="192">
        <v>195</v>
      </c>
      <c r="H51" s="182"/>
      <c r="I51" s="187"/>
      <c r="J51" s="188"/>
      <c r="K51" s="188"/>
      <c r="L51" s="189"/>
    </row>
    <row r="52" spans="1:12" s="153" customFormat="1" ht="20.25" customHeight="1">
      <c r="A52" s="191" t="s">
        <v>289</v>
      </c>
      <c r="B52" s="193">
        <v>335</v>
      </c>
      <c r="C52" s="193">
        <v>137</v>
      </c>
      <c r="D52" s="193">
        <v>112</v>
      </c>
      <c r="E52" s="193">
        <v>174</v>
      </c>
      <c r="F52" s="193">
        <v>94</v>
      </c>
      <c r="G52" s="192">
        <v>316</v>
      </c>
      <c r="H52" s="182"/>
      <c r="I52" s="187">
        <f t="shared" si="18"/>
        <v>3.3563218390804597</v>
      </c>
      <c r="J52" s="188">
        <f t="shared" si="19"/>
        <v>54.109589041095894</v>
      </c>
      <c r="K52" s="188">
        <f t="shared" si="20"/>
        <v>29.794520547945208</v>
      </c>
      <c r="L52" s="189">
        <f t="shared" si="21"/>
        <v>16.095890410958905</v>
      </c>
    </row>
    <row r="53" spans="1:12" s="153" customFormat="1" ht="20.25" customHeight="1">
      <c r="A53" s="191" t="s">
        <v>290</v>
      </c>
      <c r="B53" s="193">
        <v>97</v>
      </c>
      <c r="C53" s="193">
        <v>27</v>
      </c>
      <c r="D53" s="193">
        <v>18</v>
      </c>
      <c r="E53" s="193">
        <v>69</v>
      </c>
      <c r="F53" s="193">
        <v>17</v>
      </c>
      <c r="G53" s="192">
        <v>56</v>
      </c>
      <c r="H53" s="182"/>
      <c r="I53" s="187">
        <f t="shared" si="18"/>
        <v>2.0579710144927534</v>
      </c>
      <c r="J53" s="188">
        <f t="shared" si="19"/>
        <v>39.436619718309856</v>
      </c>
      <c r="K53" s="188">
        <f t="shared" si="20"/>
        <v>48.591549295774648</v>
      </c>
      <c r="L53" s="189">
        <f t="shared" si="21"/>
        <v>11.971830985915492</v>
      </c>
    </row>
    <row r="54" spans="1:12" s="153" customFormat="1" ht="20.25" customHeight="1">
      <c r="A54" s="191" t="s">
        <v>291</v>
      </c>
      <c r="B54" s="193">
        <v>55</v>
      </c>
      <c r="C54" s="193">
        <v>12</v>
      </c>
      <c r="D54" s="193">
        <v>5</v>
      </c>
      <c r="E54" s="193">
        <v>31</v>
      </c>
      <c r="F54" s="193">
        <v>22</v>
      </c>
      <c r="G54" s="192">
        <v>19</v>
      </c>
      <c r="H54" s="182"/>
      <c r="I54" s="187">
        <f t="shared" si="18"/>
        <v>2.3225806451612905</v>
      </c>
      <c r="J54" s="188">
        <f t="shared" si="19"/>
        <v>26.388888888888889</v>
      </c>
      <c r="K54" s="188">
        <f t="shared" si="20"/>
        <v>43.055555555555557</v>
      </c>
      <c r="L54" s="189">
        <f t="shared" si="21"/>
        <v>30.555555555555557</v>
      </c>
    </row>
    <row r="55" spans="1:12" s="153" customFormat="1" ht="20.25" customHeight="1">
      <c r="A55" s="191" t="s">
        <v>292</v>
      </c>
      <c r="B55" s="193">
        <v>4</v>
      </c>
      <c r="C55" s="193">
        <v>10</v>
      </c>
      <c r="D55" s="193">
        <v>1</v>
      </c>
      <c r="E55" s="193">
        <v>7</v>
      </c>
      <c r="F55" s="193">
        <v>1</v>
      </c>
      <c r="G55" s="192">
        <v>7</v>
      </c>
      <c r="H55" s="182"/>
      <c r="I55" s="187">
        <f t="shared" si="18"/>
        <v>2.1428571428571428</v>
      </c>
      <c r="J55" s="188">
        <f t="shared" si="19"/>
        <v>46.666666666666664</v>
      </c>
      <c r="K55" s="188">
        <f t="shared" si="20"/>
        <v>46.666666666666664</v>
      </c>
      <c r="L55" s="189">
        <f t="shared" si="21"/>
        <v>6.666666666666667</v>
      </c>
    </row>
    <row r="56" spans="1:12" s="153" customFormat="1" ht="20.25" customHeight="1">
      <c r="A56" s="191" t="s">
        <v>293</v>
      </c>
      <c r="B56" s="193">
        <v>48</v>
      </c>
      <c r="C56" s="193">
        <v>24</v>
      </c>
      <c r="D56" s="193">
        <v>10</v>
      </c>
      <c r="E56" s="193">
        <v>16</v>
      </c>
      <c r="F56" s="193">
        <v>32</v>
      </c>
      <c r="G56" s="192">
        <v>34</v>
      </c>
      <c r="H56" s="182"/>
      <c r="I56" s="187">
        <f t="shared" si="18"/>
        <v>5.125</v>
      </c>
      <c r="J56" s="188">
        <f t="shared" si="19"/>
        <v>41.463414634146339</v>
      </c>
      <c r="K56" s="188">
        <f t="shared" si="20"/>
        <v>19.512195121951219</v>
      </c>
      <c r="L56" s="189">
        <f t="shared" si="21"/>
        <v>39.024390243902438</v>
      </c>
    </row>
    <row r="57" spans="1:12" s="153" customFormat="1" ht="20.25" customHeight="1">
      <c r="A57" s="194"/>
      <c r="B57" s="192"/>
      <c r="C57" s="192"/>
      <c r="D57" s="192"/>
      <c r="E57" s="192"/>
      <c r="F57" s="192"/>
      <c r="G57" s="193"/>
      <c r="H57" s="182"/>
      <c r="I57" s="187"/>
      <c r="J57" s="188"/>
      <c r="K57" s="188"/>
      <c r="L57" s="189"/>
    </row>
    <row r="58" spans="1:12" s="153" customFormat="1" ht="20.25" customHeight="1">
      <c r="A58" s="190" t="s">
        <v>294</v>
      </c>
      <c r="B58" s="181">
        <f t="shared" ref="B58:G58" si="22">SUM(B59:B66)</f>
        <v>3014</v>
      </c>
      <c r="C58" s="181">
        <f t="shared" si="22"/>
        <v>847</v>
      </c>
      <c r="D58" s="181">
        <f t="shared" si="22"/>
        <v>441</v>
      </c>
      <c r="E58" s="181">
        <f t="shared" si="22"/>
        <v>1047</v>
      </c>
      <c r="F58" s="181">
        <f t="shared" si="22"/>
        <v>723</v>
      </c>
      <c r="G58" s="181">
        <f t="shared" si="22"/>
        <v>2532</v>
      </c>
      <c r="H58" s="182"/>
      <c r="I58" s="183">
        <f t="shared" ref="I58:I66" si="23">SUM(B58:D58)/E58</f>
        <v>4.1088825214899716</v>
      </c>
      <c r="J58" s="184">
        <f t="shared" ref="J58:J66" si="24">(G58/SUM(B58:D58))*100</f>
        <v>58.856345885634589</v>
      </c>
      <c r="K58" s="184">
        <f t="shared" ref="K58:K66" si="25">(E58/SUM(B58:D58))*100</f>
        <v>24.337517433751742</v>
      </c>
      <c r="L58" s="185">
        <f t="shared" ref="L58:L66" si="26">(F58/SUM(B58:D58))*100</f>
        <v>16.806136680613669</v>
      </c>
    </row>
    <row r="59" spans="1:12" s="153" customFormat="1" ht="20.25" customHeight="1">
      <c r="A59" s="191" t="s">
        <v>295</v>
      </c>
      <c r="B59" s="192">
        <v>634</v>
      </c>
      <c r="C59" s="192">
        <v>222</v>
      </c>
      <c r="D59" s="192">
        <v>115</v>
      </c>
      <c r="E59" s="192">
        <v>219</v>
      </c>
      <c r="F59" s="192">
        <v>217</v>
      </c>
      <c r="G59" s="192">
        <v>535</v>
      </c>
      <c r="H59" s="182"/>
      <c r="I59" s="187">
        <f t="shared" si="23"/>
        <v>4.4337899543378994</v>
      </c>
      <c r="J59" s="188">
        <f t="shared" si="24"/>
        <v>55.097837281153453</v>
      </c>
      <c r="K59" s="188">
        <f t="shared" si="25"/>
        <v>22.55406797116375</v>
      </c>
      <c r="L59" s="189">
        <f t="shared" si="26"/>
        <v>22.348094747682801</v>
      </c>
    </row>
    <row r="60" spans="1:12" ht="20.25" customHeight="1">
      <c r="A60" s="191" t="s">
        <v>296</v>
      </c>
      <c r="B60" s="192">
        <v>672</v>
      </c>
      <c r="C60" s="192">
        <v>218</v>
      </c>
      <c r="D60" s="192">
        <v>80</v>
      </c>
      <c r="E60" s="192">
        <v>194</v>
      </c>
      <c r="F60" s="192">
        <v>132</v>
      </c>
      <c r="G60" s="192">
        <v>644</v>
      </c>
      <c r="H60" s="182"/>
      <c r="I60" s="187">
        <f t="shared" si="23"/>
        <v>5</v>
      </c>
      <c r="J60" s="188">
        <f t="shared" si="24"/>
        <v>66.391752577319579</v>
      </c>
      <c r="K60" s="188">
        <f t="shared" si="25"/>
        <v>20</v>
      </c>
      <c r="L60" s="189">
        <f t="shared" si="26"/>
        <v>13.608247422680412</v>
      </c>
    </row>
    <row r="61" spans="1:12" s="153" customFormat="1" ht="20.25" customHeight="1">
      <c r="A61" s="191" t="s">
        <v>297</v>
      </c>
      <c r="B61" s="192">
        <v>443</v>
      </c>
      <c r="C61" s="192">
        <v>171</v>
      </c>
      <c r="D61" s="192">
        <v>74</v>
      </c>
      <c r="E61" s="192">
        <v>288</v>
      </c>
      <c r="F61" s="192">
        <v>210</v>
      </c>
      <c r="G61" s="192">
        <v>190</v>
      </c>
      <c r="H61" s="182"/>
      <c r="I61" s="187">
        <f t="shared" si="23"/>
        <v>2.3888888888888888</v>
      </c>
      <c r="J61" s="188">
        <f t="shared" si="24"/>
        <v>27.61627906976744</v>
      </c>
      <c r="K61" s="188">
        <f t="shared" si="25"/>
        <v>41.860465116279073</v>
      </c>
      <c r="L61" s="189">
        <f t="shared" si="26"/>
        <v>30.523255813953487</v>
      </c>
    </row>
    <row r="62" spans="1:12" s="153" customFormat="1" ht="20.25" customHeight="1">
      <c r="A62" s="191" t="s">
        <v>298</v>
      </c>
      <c r="B62" s="192">
        <v>180</v>
      </c>
      <c r="C62" s="192">
        <v>88</v>
      </c>
      <c r="D62" s="192">
        <v>76</v>
      </c>
      <c r="E62" s="192">
        <v>163</v>
      </c>
      <c r="F62" s="192">
        <v>96</v>
      </c>
      <c r="G62" s="192">
        <v>85</v>
      </c>
      <c r="H62" s="182"/>
      <c r="I62" s="187">
        <f t="shared" si="23"/>
        <v>2.1104294478527605</v>
      </c>
      <c r="J62" s="188">
        <f t="shared" si="24"/>
        <v>24.709302325581394</v>
      </c>
      <c r="K62" s="188">
        <f t="shared" si="25"/>
        <v>47.383720930232556</v>
      </c>
      <c r="L62" s="189">
        <f t="shared" si="26"/>
        <v>27.906976744186046</v>
      </c>
    </row>
    <row r="63" spans="1:12" s="153" customFormat="1" ht="20.25" customHeight="1">
      <c r="A63" s="191" t="s">
        <v>299</v>
      </c>
      <c r="B63" s="192">
        <v>16</v>
      </c>
      <c r="C63" s="192">
        <v>23</v>
      </c>
      <c r="D63" s="192">
        <v>6</v>
      </c>
      <c r="E63" s="192">
        <v>12</v>
      </c>
      <c r="F63" s="192">
        <v>7</v>
      </c>
      <c r="G63" s="192">
        <v>26</v>
      </c>
      <c r="H63" s="182"/>
      <c r="I63" s="187">
        <f t="shared" si="23"/>
        <v>3.75</v>
      </c>
      <c r="J63" s="188">
        <f t="shared" si="24"/>
        <v>57.777777777777771</v>
      </c>
      <c r="K63" s="188">
        <f t="shared" si="25"/>
        <v>26.666666666666668</v>
      </c>
      <c r="L63" s="189">
        <f t="shared" si="26"/>
        <v>15.555555555555555</v>
      </c>
    </row>
    <row r="64" spans="1:12" s="153" customFormat="1" ht="20.25" customHeight="1">
      <c r="A64" s="191" t="s">
        <v>960</v>
      </c>
      <c r="B64" s="192">
        <v>40</v>
      </c>
      <c r="C64" s="192">
        <v>26</v>
      </c>
      <c r="D64" s="192">
        <v>25</v>
      </c>
      <c r="E64" s="192">
        <v>37</v>
      </c>
      <c r="F64" s="192">
        <v>10</v>
      </c>
      <c r="G64" s="192">
        <v>44</v>
      </c>
      <c r="H64" s="182"/>
      <c r="I64" s="187">
        <f t="shared" si="23"/>
        <v>2.4594594594594597</v>
      </c>
      <c r="J64" s="188">
        <f t="shared" si="24"/>
        <v>48.35164835164835</v>
      </c>
      <c r="K64" s="188">
        <f t="shared" si="25"/>
        <v>40.659340659340657</v>
      </c>
      <c r="L64" s="189">
        <f t="shared" si="26"/>
        <v>10.989010989010989</v>
      </c>
    </row>
    <row r="65" spans="1:12" s="153" customFormat="1" ht="20.25" customHeight="1">
      <c r="A65" s="191" t="s">
        <v>301</v>
      </c>
      <c r="B65" s="192">
        <v>909</v>
      </c>
      <c r="C65" s="192">
        <v>59</v>
      </c>
      <c r="D65" s="192">
        <v>44</v>
      </c>
      <c r="E65" s="192">
        <v>88</v>
      </c>
      <c r="F65" s="192">
        <v>7</v>
      </c>
      <c r="G65" s="192">
        <v>917</v>
      </c>
      <c r="H65" s="182"/>
      <c r="I65" s="187">
        <f t="shared" si="23"/>
        <v>11.5</v>
      </c>
      <c r="J65" s="188">
        <f t="shared" si="24"/>
        <v>90.612648221343875</v>
      </c>
      <c r="K65" s="188">
        <f t="shared" si="25"/>
        <v>8.695652173913043</v>
      </c>
      <c r="L65" s="189">
        <f t="shared" si="26"/>
        <v>0.69169960474308301</v>
      </c>
    </row>
    <row r="66" spans="1:12" s="153" customFormat="1" ht="20.25" customHeight="1">
      <c r="A66" s="191" t="s">
        <v>302</v>
      </c>
      <c r="B66" s="192">
        <v>120</v>
      </c>
      <c r="C66" s="192">
        <v>40</v>
      </c>
      <c r="D66" s="192">
        <v>21</v>
      </c>
      <c r="E66" s="192">
        <v>46</v>
      </c>
      <c r="F66" s="192">
        <v>44</v>
      </c>
      <c r="G66" s="192">
        <v>91</v>
      </c>
      <c r="H66" s="182"/>
      <c r="I66" s="187">
        <f t="shared" si="23"/>
        <v>3.9347826086956523</v>
      </c>
      <c r="J66" s="188">
        <f t="shared" si="24"/>
        <v>50.276243093922659</v>
      </c>
      <c r="K66" s="188">
        <f t="shared" si="25"/>
        <v>25.414364640883981</v>
      </c>
      <c r="L66" s="189">
        <f t="shared" si="26"/>
        <v>24.30939226519337</v>
      </c>
    </row>
    <row r="67" spans="1:12" ht="20.25" customHeight="1">
      <c r="A67" s="195"/>
      <c r="B67" s="196"/>
      <c r="C67" s="192"/>
      <c r="D67" s="192"/>
      <c r="E67" s="196"/>
      <c r="F67" s="196"/>
      <c r="G67" s="196"/>
      <c r="H67" s="182"/>
      <c r="I67" s="187"/>
      <c r="J67" s="188"/>
      <c r="K67" s="188"/>
      <c r="L67" s="189"/>
    </row>
    <row r="68" spans="1:12" s="153" customFormat="1" ht="20.25" customHeight="1">
      <c r="A68" s="190" t="s">
        <v>303</v>
      </c>
      <c r="B68" s="181">
        <f t="shared" ref="B68:G68" si="27">SUM(B69:B77)</f>
        <v>6555</v>
      </c>
      <c r="C68" s="181">
        <f t="shared" si="27"/>
        <v>1649</v>
      </c>
      <c r="D68" s="181">
        <f t="shared" si="27"/>
        <v>3035</v>
      </c>
      <c r="E68" s="181">
        <f t="shared" si="27"/>
        <v>3199</v>
      </c>
      <c r="F68" s="181">
        <f t="shared" si="27"/>
        <v>3446</v>
      </c>
      <c r="G68" s="181">
        <f t="shared" si="27"/>
        <v>4594</v>
      </c>
      <c r="H68" s="182"/>
      <c r="I68" s="183">
        <f t="shared" ref="I68:I77" si="28">SUM(B68:D68)/E68</f>
        <v>3.5132854016880275</v>
      </c>
      <c r="J68" s="184">
        <f t="shared" ref="J68:J77" si="29">(G68/SUM(B68:D68))*100</f>
        <v>40.875522733339267</v>
      </c>
      <c r="K68" s="184">
        <f t="shared" ref="K68:K77" si="30">(E68/SUM(B68:D68))*100</f>
        <v>28.463386422279562</v>
      </c>
      <c r="L68" s="185">
        <f t="shared" ref="L68:L77" si="31">(F68/SUM(B68:D68))*100</f>
        <v>30.661090844381171</v>
      </c>
    </row>
    <row r="69" spans="1:12" s="153" customFormat="1" ht="20.25" customHeight="1">
      <c r="A69" s="191" t="s">
        <v>304</v>
      </c>
      <c r="B69" s="192">
        <v>2757</v>
      </c>
      <c r="C69" s="192">
        <v>641</v>
      </c>
      <c r="D69" s="192">
        <v>1039</v>
      </c>
      <c r="E69" s="192">
        <v>1450</v>
      </c>
      <c r="F69" s="192">
        <v>1179</v>
      </c>
      <c r="G69" s="192">
        <v>1808</v>
      </c>
      <c r="H69" s="182"/>
      <c r="I69" s="187">
        <f t="shared" si="28"/>
        <v>3.06</v>
      </c>
      <c r="J69" s="188">
        <f t="shared" si="29"/>
        <v>40.748253324318235</v>
      </c>
      <c r="K69" s="188">
        <f t="shared" si="30"/>
        <v>32.679738562091501</v>
      </c>
      <c r="L69" s="189">
        <f t="shared" si="31"/>
        <v>26.572008113590261</v>
      </c>
    </row>
    <row r="70" spans="1:12" s="153" customFormat="1" ht="20.25" customHeight="1">
      <c r="A70" s="191" t="s">
        <v>305</v>
      </c>
      <c r="B70" s="192">
        <v>382</v>
      </c>
      <c r="C70" s="192">
        <v>162</v>
      </c>
      <c r="D70" s="192">
        <v>86</v>
      </c>
      <c r="E70" s="192">
        <v>161</v>
      </c>
      <c r="F70" s="192">
        <v>95</v>
      </c>
      <c r="G70" s="192">
        <v>374</v>
      </c>
      <c r="H70" s="182"/>
      <c r="I70" s="187">
        <f t="shared" si="28"/>
        <v>3.9130434782608696</v>
      </c>
      <c r="J70" s="188">
        <f t="shared" si="29"/>
        <v>59.365079365079367</v>
      </c>
      <c r="K70" s="188">
        <f t="shared" si="30"/>
        <v>25.555555555555554</v>
      </c>
      <c r="L70" s="189">
        <f t="shared" si="31"/>
        <v>15.079365079365079</v>
      </c>
    </row>
    <row r="71" spans="1:12" s="153" customFormat="1" ht="20.25" customHeight="1">
      <c r="A71" s="191" t="s">
        <v>306</v>
      </c>
      <c r="B71" s="192">
        <v>2501</v>
      </c>
      <c r="C71" s="192">
        <v>518</v>
      </c>
      <c r="D71" s="192">
        <v>1683</v>
      </c>
      <c r="E71" s="192">
        <v>1248</v>
      </c>
      <c r="F71" s="192">
        <v>1712</v>
      </c>
      <c r="G71" s="192">
        <v>1742</v>
      </c>
      <c r="H71" s="182"/>
      <c r="I71" s="187">
        <f t="shared" si="28"/>
        <v>3.7676282051282053</v>
      </c>
      <c r="J71" s="188">
        <f t="shared" si="29"/>
        <v>37.048064653339004</v>
      </c>
      <c r="K71" s="188">
        <f t="shared" si="30"/>
        <v>26.54189706507869</v>
      </c>
      <c r="L71" s="189">
        <f t="shared" si="31"/>
        <v>36.41003828158231</v>
      </c>
    </row>
    <row r="72" spans="1:12" s="153" customFormat="1" ht="20.25" customHeight="1">
      <c r="A72" s="191" t="s">
        <v>307</v>
      </c>
      <c r="B72" s="192">
        <v>113</v>
      </c>
      <c r="C72" s="192">
        <v>127</v>
      </c>
      <c r="D72" s="192">
        <v>48</v>
      </c>
      <c r="E72" s="192">
        <v>79</v>
      </c>
      <c r="F72" s="192">
        <v>56</v>
      </c>
      <c r="G72" s="192">
        <v>153</v>
      </c>
      <c r="H72" s="182"/>
      <c r="I72" s="187">
        <f t="shared" si="28"/>
        <v>3.6455696202531644</v>
      </c>
      <c r="J72" s="188">
        <f t="shared" si="29"/>
        <v>53.125</v>
      </c>
      <c r="K72" s="188">
        <f t="shared" si="30"/>
        <v>27.430555555555557</v>
      </c>
      <c r="L72" s="189">
        <f t="shared" si="31"/>
        <v>19.444444444444446</v>
      </c>
    </row>
    <row r="73" spans="1:12" s="153" customFormat="1" ht="20.25" customHeight="1">
      <c r="A73" s="191" t="s">
        <v>308</v>
      </c>
      <c r="B73" s="192">
        <v>98</v>
      </c>
      <c r="C73" s="192">
        <v>35</v>
      </c>
      <c r="D73" s="192">
        <v>5</v>
      </c>
      <c r="E73" s="192">
        <v>57</v>
      </c>
      <c r="F73" s="192">
        <v>11</v>
      </c>
      <c r="G73" s="192">
        <v>70</v>
      </c>
      <c r="H73" s="182"/>
      <c r="I73" s="187">
        <f t="shared" si="28"/>
        <v>2.4210526315789473</v>
      </c>
      <c r="J73" s="188">
        <f t="shared" si="29"/>
        <v>50.724637681159422</v>
      </c>
      <c r="K73" s="188">
        <f t="shared" si="30"/>
        <v>41.304347826086953</v>
      </c>
      <c r="L73" s="189">
        <f t="shared" si="31"/>
        <v>7.9710144927536222</v>
      </c>
    </row>
    <row r="74" spans="1:12" s="153" customFormat="1" ht="20.25" customHeight="1">
      <c r="A74" s="191" t="s">
        <v>309</v>
      </c>
      <c r="B74" s="192">
        <v>30</v>
      </c>
      <c r="C74" s="192">
        <v>12</v>
      </c>
      <c r="D74" s="192">
        <v>2</v>
      </c>
      <c r="E74" s="192">
        <v>16</v>
      </c>
      <c r="F74" s="192">
        <v>21</v>
      </c>
      <c r="G74" s="192">
        <v>7</v>
      </c>
      <c r="H74" s="182"/>
      <c r="I74" s="187">
        <f t="shared" si="28"/>
        <v>2.75</v>
      </c>
      <c r="J74" s="188">
        <f t="shared" si="29"/>
        <v>15.909090909090908</v>
      </c>
      <c r="K74" s="188">
        <f t="shared" si="30"/>
        <v>36.363636363636367</v>
      </c>
      <c r="L74" s="189">
        <f t="shared" si="31"/>
        <v>47.727272727272727</v>
      </c>
    </row>
    <row r="75" spans="1:12" s="153" customFormat="1" ht="20.25" customHeight="1">
      <c r="A75" s="191" t="s">
        <v>310</v>
      </c>
      <c r="B75" s="192">
        <v>546</v>
      </c>
      <c r="C75" s="192">
        <v>107</v>
      </c>
      <c r="D75" s="192">
        <v>125</v>
      </c>
      <c r="E75" s="192">
        <v>120</v>
      </c>
      <c r="F75" s="192">
        <v>320</v>
      </c>
      <c r="G75" s="192">
        <v>338</v>
      </c>
      <c r="H75" s="182"/>
      <c r="I75" s="187">
        <f t="shared" si="28"/>
        <v>6.4833333333333334</v>
      </c>
      <c r="J75" s="188">
        <f t="shared" si="29"/>
        <v>43.444730077120823</v>
      </c>
      <c r="K75" s="188">
        <f t="shared" si="30"/>
        <v>15.424164524421593</v>
      </c>
      <c r="L75" s="189">
        <f t="shared" si="31"/>
        <v>41.131105398457585</v>
      </c>
    </row>
    <row r="76" spans="1:12" ht="20.25" customHeight="1">
      <c r="A76" s="191" t="s">
        <v>311</v>
      </c>
      <c r="B76" s="192">
        <v>73</v>
      </c>
      <c r="C76" s="192">
        <v>18</v>
      </c>
      <c r="D76" s="192">
        <v>26</v>
      </c>
      <c r="E76" s="192">
        <v>27</v>
      </c>
      <c r="F76" s="192">
        <v>11</v>
      </c>
      <c r="G76" s="192">
        <v>79</v>
      </c>
      <c r="H76" s="182"/>
      <c r="I76" s="187">
        <f t="shared" si="28"/>
        <v>4.333333333333333</v>
      </c>
      <c r="J76" s="188">
        <f t="shared" si="29"/>
        <v>67.521367521367523</v>
      </c>
      <c r="K76" s="188">
        <f t="shared" si="30"/>
        <v>23.076923076923077</v>
      </c>
      <c r="L76" s="189">
        <f t="shared" si="31"/>
        <v>9.4017094017094021</v>
      </c>
    </row>
    <row r="77" spans="1:12" s="153" customFormat="1" ht="20.25" customHeight="1">
      <c r="A77" s="191" t="s">
        <v>312</v>
      </c>
      <c r="B77" s="192">
        <v>55</v>
      </c>
      <c r="C77" s="192">
        <v>29</v>
      </c>
      <c r="D77" s="192">
        <v>21</v>
      </c>
      <c r="E77" s="192">
        <v>41</v>
      </c>
      <c r="F77" s="192">
        <v>41</v>
      </c>
      <c r="G77" s="192">
        <v>23</v>
      </c>
      <c r="H77" s="182"/>
      <c r="I77" s="187">
        <f t="shared" si="28"/>
        <v>2.5609756097560976</v>
      </c>
      <c r="J77" s="188">
        <f t="shared" si="29"/>
        <v>21.904761904761905</v>
      </c>
      <c r="K77" s="188">
        <f t="shared" si="30"/>
        <v>39.047619047619051</v>
      </c>
      <c r="L77" s="189">
        <f t="shared" si="31"/>
        <v>39.047619047619051</v>
      </c>
    </row>
    <row r="78" spans="1:12" ht="20.25" customHeight="1">
      <c r="A78" s="194"/>
      <c r="B78" s="192"/>
      <c r="C78" s="192"/>
      <c r="D78" s="192"/>
      <c r="E78" s="192"/>
      <c r="F78" s="192"/>
      <c r="G78" s="192"/>
      <c r="H78" s="182"/>
      <c r="I78" s="187"/>
      <c r="J78" s="188"/>
      <c r="K78" s="188"/>
      <c r="L78" s="189"/>
    </row>
    <row r="79" spans="1:12" ht="20.25" customHeight="1">
      <c r="A79" s="190" t="s">
        <v>812</v>
      </c>
      <c r="B79" s="181">
        <f t="shared" ref="B79:G79" si="32">SUM(B80:B87)</f>
        <v>7462</v>
      </c>
      <c r="C79" s="181">
        <f t="shared" si="32"/>
        <v>1704</v>
      </c>
      <c r="D79" s="181">
        <f t="shared" si="32"/>
        <v>1402</v>
      </c>
      <c r="E79" s="181">
        <f t="shared" si="32"/>
        <v>1684</v>
      </c>
      <c r="F79" s="181">
        <f t="shared" si="32"/>
        <v>5181</v>
      </c>
      <c r="G79" s="181">
        <f t="shared" si="32"/>
        <v>3703</v>
      </c>
      <c r="H79" s="182"/>
      <c r="I79" s="183">
        <f>SUM(B79:D79)/E79</f>
        <v>6.2755344418052257</v>
      </c>
      <c r="J79" s="184">
        <f>(G79/SUM(B79:D79))*100</f>
        <v>35.039742619227859</v>
      </c>
      <c r="K79" s="184">
        <f>(E79/SUM(B79:D79))*100</f>
        <v>15.934897804693415</v>
      </c>
      <c r="L79" s="185">
        <f>(F79/SUM(B79:D79))*100</f>
        <v>49.025359576078728</v>
      </c>
    </row>
    <row r="80" spans="1:12" s="153" customFormat="1" ht="20.25" customHeight="1">
      <c r="A80" s="194" t="s">
        <v>813</v>
      </c>
      <c r="B80" s="192">
        <v>1740</v>
      </c>
      <c r="C80" s="192">
        <v>697</v>
      </c>
      <c r="D80" s="192">
        <v>741</v>
      </c>
      <c r="E80" s="192">
        <v>594</v>
      </c>
      <c r="F80" s="192">
        <v>867</v>
      </c>
      <c r="G80" s="192">
        <v>1717</v>
      </c>
      <c r="H80" s="182"/>
      <c r="I80" s="187">
        <f>SUM(B80:D80)/E80</f>
        <v>5.3501683501683504</v>
      </c>
      <c r="J80" s="188">
        <f>(G80/SUM(B80:D80))*100</f>
        <v>54.027690371302704</v>
      </c>
      <c r="K80" s="188">
        <f>(E80/SUM(B80:D80))*100</f>
        <v>18.69100062932662</v>
      </c>
      <c r="L80" s="189">
        <f>(F80/SUM(B80:D80))*100</f>
        <v>27.281308999370673</v>
      </c>
    </row>
    <row r="81" spans="1:12" s="153" customFormat="1" ht="20.25" customHeight="1">
      <c r="A81" s="194" t="s">
        <v>429</v>
      </c>
      <c r="B81" s="192">
        <v>140</v>
      </c>
      <c r="C81" s="192">
        <v>65</v>
      </c>
      <c r="D81" s="192">
        <v>10</v>
      </c>
      <c r="E81" s="192">
        <v>47</v>
      </c>
      <c r="F81" s="192">
        <v>61</v>
      </c>
      <c r="G81" s="192">
        <v>107</v>
      </c>
      <c r="H81" s="182"/>
      <c r="I81" s="187">
        <f t="shared" ref="I81:I87" si="33">SUM(B81:D81)/E81</f>
        <v>4.5744680851063828</v>
      </c>
      <c r="J81" s="188">
        <f t="shared" ref="J81:J87" si="34">(G81/SUM(B81:D81))*100</f>
        <v>49.767441860465119</v>
      </c>
      <c r="K81" s="188">
        <f t="shared" ref="K81:K87" si="35">(E81/SUM(B81:D81))*100</f>
        <v>21.86046511627907</v>
      </c>
      <c r="L81" s="189">
        <f t="shared" ref="L81:L87" si="36">(F81/SUM(B81:D81))*100</f>
        <v>28.372093023255811</v>
      </c>
    </row>
    <row r="82" spans="1:12" s="153" customFormat="1" ht="20.25" customHeight="1">
      <c r="A82" s="194" t="s">
        <v>814</v>
      </c>
      <c r="B82" s="192">
        <v>3798</v>
      </c>
      <c r="C82" s="192">
        <v>589</v>
      </c>
      <c r="D82" s="192">
        <v>440</v>
      </c>
      <c r="E82" s="192">
        <v>462</v>
      </c>
      <c r="F82" s="192">
        <v>3347</v>
      </c>
      <c r="G82" s="192">
        <v>1018</v>
      </c>
      <c r="H82" s="182"/>
      <c r="I82" s="187">
        <f t="shared" si="33"/>
        <v>10.448051948051948</v>
      </c>
      <c r="J82" s="188">
        <f t="shared" si="34"/>
        <v>21.089703749741041</v>
      </c>
      <c r="K82" s="188">
        <f t="shared" si="35"/>
        <v>9.5711622125543823</v>
      </c>
      <c r="L82" s="189">
        <f t="shared" si="36"/>
        <v>69.339134037704582</v>
      </c>
    </row>
    <row r="83" spans="1:12" s="153" customFormat="1" ht="20.25" customHeight="1">
      <c r="A83" s="191" t="s">
        <v>815</v>
      </c>
      <c r="B83" s="192">
        <v>85</v>
      </c>
      <c r="C83" s="192">
        <v>79</v>
      </c>
      <c r="D83" s="192">
        <v>12</v>
      </c>
      <c r="E83" s="192">
        <v>56</v>
      </c>
      <c r="F83" s="192">
        <v>8</v>
      </c>
      <c r="G83" s="192">
        <v>112</v>
      </c>
      <c r="H83" s="182"/>
      <c r="I83" s="187">
        <f t="shared" si="33"/>
        <v>3.1428571428571428</v>
      </c>
      <c r="J83" s="188">
        <f t="shared" si="34"/>
        <v>63.636363636363633</v>
      </c>
      <c r="K83" s="188">
        <f t="shared" si="35"/>
        <v>31.818181818181817</v>
      </c>
      <c r="L83" s="189">
        <f t="shared" si="36"/>
        <v>4.5454545454545459</v>
      </c>
    </row>
    <row r="84" spans="1:12" s="153" customFormat="1" ht="20.25" customHeight="1">
      <c r="A84" s="191" t="s">
        <v>816</v>
      </c>
      <c r="B84" s="192">
        <v>365</v>
      </c>
      <c r="C84" s="192">
        <v>94</v>
      </c>
      <c r="D84" s="192">
        <v>8</v>
      </c>
      <c r="E84" s="192">
        <v>220</v>
      </c>
      <c r="F84" s="192">
        <v>128</v>
      </c>
      <c r="G84" s="192">
        <v>119</v>
      </c>
      <c r="H84" s="182"/>
      <c r="I84" s="187">
        <f t="shared" si="33"/>
        <v>2.1227272727272726</v>
      </c>
      <c r="J84" s="188">
        <f t="shared" si="34"/>
        <v>25.481798715203425</v>
      </c>
      <c r="K84" s="188">
        <f t="shared" si="35"/>
        <v>47.109207708779444</v>
      </c>
      <c r="L84" s="189">
        <f t="shared" si="36"/>
        <v>27.408993576017131</v>
      </c>
    </row>
    <row r="85" spans="1:12" s="153" customFormat="1" ht="20.25" customHeight="1">
      <c r="A85" s="191" t="s">
        <v>817</v>
      </c>
      <c r="B85" s="192">
        <v>70</v>
      </c>
      <c r="C85" s="192">
        <v>31</v>
      </c>
      <c r="D85" s="192">
        <v>0</v>
      </c>
      <c r="E85" s="192">
        <v>49</v>
      </c>
      <c r="F85" s="192">
        <v>33</v>
      </c>
      <c r="G85" s="192">
        <v>19</v>
      </c>
      <c r="H85" s="182"/>
      <c r="I85" s="187">
        <f t="shared" si="33"/>
        <v>2.0612244897959182</v>
      </c>
      <c r="J85" s="188">
        <f t="shared" si="34"/>
        <v>18.811881188118811</v>
      </c>
      <c r="K85" s="188">
        <f t="shared" si="35"/>
        <v>48.514851485148512</v>
      </c>
      <c r="L85" s="189">
        <f t="shared" si="36"/>
        <v>32.673267326732677</v>
      </c>
    </row>
    <row r="86" spans="1:12" s="153" customFormat="1" ht="20.25" customHeight="1">
      <c r="A86" s="191" t="s">
        <v>818</v>
      </c>
      <c r="B86" s="192">
        <v>1101</v>
      </c>
      <c r="C86" s="192">
        <v>113</v>
      </c>
      <c r="D86" s="192">
        <v>180</v>
      </c>
      <c r="E86" s="192">
        <v>211</v>
      </c>
      <c r="F86" s="192">
        <v>736</v>
      </c>
      <c r="G86" s="192">
        <v>447</v>
      </c>
      <c r="H86" s="182"/>
      <c r="I86" s="187">
        <f t="shared" si="33"/>
        <v>6.6066350710900474</v>
      </c>
      <c r="J86" s="188">
        <f t="shared" si="34"/>
        <v>32.065997130559545</v>
      </c>
      <c r="K86" s="188">
        <f t="shared" si="35"/>
        <v>15.136298421807748</v>
      </c>
      <c r="L86" s="189">
        <f t="shared" si="36"/>
        <v>52.797704447632711</v>
      </c>
    </row>
    <row r="87" spans="1:12" s="153" customFormat="1" ht="20.25" customHeight="1">
      <c r="A87" s="191" t="s">
        <v>819</v>
      </c>
      <c r="B87" s="192">
        <v>163</v>
      </c>
      <c r="C87" s="192">
        <v>36</v>
      </c>
      <c r="D87" s="192">
        <v>11</v>
      </c>
      <c r="E87" s="192">
        <v>45</v>
      </c>
      <c r="F87" s="192">
        <v>1</v>
      </c>
      <c r="G87" s="192">
        <v>164</v>
      </c>
      <c r="H87" s="182"/>
      <c r="I87" s="187">
        <f t="shared" si="33"/>
        <v>4.666666666666667</v>
      </c>
      <c r="J87" s="188">
        <f t="shared" si="34"/>
        <v>78.095238095238102</v>
      </c>
      <c r="K87" s="188">
        <f t="shared" si="35"/>
        <v>21.428571428571427</v>
      </c>
      <c r="L87" s="189">
        <f t="shared" si="36"/>
        <v>0.47619047619047622</v>
      </c>
    </row>
    <row r="88" spans="1:12" s="153" customFormat="1" ht="20.25" customHeight="1">
      <c r="A88" s="194"/>
      <c r="B88" s="192"/>
      <c r="C88" s="192"/>
      <c r="D88" s="192"/>
      <c r="E88" s="192"/>
      <c r="F88" s="192"/>
      <c r="G88" s="192"/>
      <c r="H88" s="182"/>
      <c r="I88" s="187"/>
      <c r="J88" s="188"/>
      <c r="K88" s="188"/>
      <c r="L88" s="189"/>
    </row>
    <row r="89" spans="1:12" ht="20.25" customHeight="1">
      <c r="A89" s="190" t="s">
        <v>820</v>
      </c>
      <c r="B89" s="181">
        <f t="shared" ref="B89:G89" si="37">SUM(B90:B97)</f>
        <v>2202</v>
      </c>
      <c r="C89" s="181">
        <f t="shared" si="37"/>
        <v>545</v>
      </c>
      <c r="D89" s="181">
        <f t="shared" si="37"/>
        <v>668</v>
      </c>
      <c r="E89" s="181">
        <f t="shared" si="37"/>
        <v>643</v>
      </c>
      <c r="F89" s="181">
        <f t="shared" si="37"/>
        <v>655</v>
      </c>
      <c r="G89" s="181">
        <f t="shared" si="37"/>
        <v>2117</v>
      </c>
      <c r="H89" s="182"/>
      <c r="I89" s="183">
        <f t="shared" ref="I89:I97" si="38">SUM(B89:D89)/E89</f>
        <v>5.3110419906687403</v>
      </c>
      <c r="J89" s="184">
        <f t="shared" ref="J89:J97" si="39">(G89/SUM(B89:D89))*100</f>
        <v>61.991215226939964</v>
      </c>
      <c r="K89" s="184">
        <f t="shared" ref="K89:K97" si="40">(E89/SUM(B89:D89))*100</f>
        <v>18.828696925329432</v>
      </c>
      <c r="L89" s="185">
        <f t="shared" ref="L89:L97" si="41">(F89/SUM(B89:D89))*100</f>
        <v>19.180087847730601</v>
      </c>
    </row>
    <row r="90" spans="1:12" s="153" customFormat="1" ht="20.25" customHeight="1">
      <c r="A90" s="191" t="s">
        <v>821</v>
      </c>
      <c r="B90" s="192">
        <v>658</v>
      </c>
      <c r="C90" s="192">
        <v>235</v>
      </c>
      <c r="D90" s="192">
        <v>329</v>
      </c>
      <c r="E90" s="192">
        <v>230</v>
      </c>
      <c r="F90" s="192">
        <v>237</v>
      </c>
      <c r="G90" s="192">
        <v>755</v>
      </c>
      <c r="H90" s="182"/>
      <c r="I90" s="187">
        <f t="shared" si="38"/>
        <v>5.3130434782608695</v>
      </c>
      <c r="J90" s="188">
        <f t="shared" si="39"/>
        <v>61.783960720130935</v>
      </c>
      <c r="K90" s="188">
        <f t="shared" si="40"/>
        <v>18.821603927986907</v>
      </c>
      <c r="L90" s="189">
        <f t="shared" si="41"/>
        <v>19.394435351882162</v>
      </c>
    </row>
    <row r="91" spans="1:12" s="153" customFormat="1" ht="20.25" customHeight="1">
      <c r="A91" s="191" t="s">
        <v>822</v>
      </c>
      <c r="B91" s="192">
        <v>512</v>
      </c>
      <c r="C91" s="192">
        <v>95</v>
      </c>
      <c r="D91" s="192">
        <v>73</v>
      </c>
      <c r="E91" s="192">
        <v>90</v>
      </c>
      <c r="F91" s="192">
        <v>159</v>
      </c>
      <c r="G91" s="192">
        <v>431</v>
      </c>
      <c r="H91" s="182"/>
      <c r="I91" s="187">
        <f t="shared" si="38"/>
        <v>7.5555555555555554</v>
      </c>
      <c r="J91" s="188">
        <f t="shared" si="39"/>
        <v>63.382352941176464</v>
      </c>
      <c r="K91" s="188">
        <f t="shared" si="40"/>
        <v>13.23529411764706</v>
      </c>
      <c r="L91" s="189">
        <f t="shared" si="41"/>
        <v>23.382352941176471</v>
      </c>
    </row>
    <row r="92" spans="1:12" s="153" customFormat="1" ht="20.25" customHeight="1">
      <c r="A92" s="191" t="s">
        <v>823</v>
      </c>
      <c r="B92" s="192">
        <v>279</v>
      </c>
      <c r="C92" s="192">
        <v>102</v>
      </c>
      <c r="D92" s="192">
        <v>26</v>
      </c>
      <c r="E92" s="192">
        <v>75</v>
      </c>
      <c r="F92" s="192">
        <v>74</v>
      </c>
      <c r="G92" s="192">
        <v>258</v>
      </c>
      <c r="H92" s="182"/>
      <c r="I92" s="187">
        <f t="shared" si="38"/>
        <v>5.4266666666666667</v>
      </c>
      <c r="J92" s="188">
        <f t="shared" si="39"/>
        <v>63.390663390663391</v>
      </c>
      <c r="K92" s="188">
        <f t="shared" si="40"/>
        <v>18.427518427518429</v>
      </c>
      <c r="L92" s="189">
        <f t="shared" si="41"/>
        <v>18.181818181818183</v>
      </c>
    </row>
    <row r="93" spans="1:12" s="153" customFormat="1" ht="20.25" customHeight="1">
      <c r="A93" s="191" t="s">
        <v>824</v>
      </c>
      <c r="B93" s="192">
        <v>169</v>
      </c>
      <c r="C93" s="192">
        <v>28</v>
      </c>
      <c r="D93" s="192">
        <v>6</v>
      </c>
      <c r="E93" s="192">
        <v>79</v>
      </c>
      <c r="F93" s="192">
        <v>32</v>
      </c>
      <c r="G93" s="192">
        <v>92</v>
      </c>
      <c r="H93" s="182"/>
      <c r="I93" s="187">
        <f t="shared" si="38"/>
        <v>2.5696202531645569</v>
      </c>
      <c r="J93" s="188">
        <f t="shared" si="39"/>
        <v>45.320197044334975</v>
      </c>
      <c r="K93" s="188">
        <f t="shared" si="40"/>
        <v>38.916256157635473</v>
      </c>
      <c r="L93" s="189">
        <f t="shared" si="41"/>
        <v>15.763546798029557</v>
      </c>
    </row>
    <row r="94" spans="1:12" s="153" customFormat="1" ht="20.25" customHeight="1">
      <c r="A94" s="191" t="s">
        <v>825</v>
      </c>
      <c r="B94" s="192">
        <v>27</v>
      </c>
      <c r="C94" s="192">
        <v>10</v>
      </c>
      <c r="D94" s="192">
        <v>12</v>
      </c>
      <c r="E94" s="192">
        <v>12</v>
      </c>
      <c r="F94" s="192">
        <v>1</v>
      </c>
      <c r="G94" s="192">
        <v>36</v>
      </c>
      <c r="H94" s="182"/>
      <c r="I94" s="187">
        <f t="shared" si="38"/>
        <v>4.083333333333333</v>
      </c>
      <c r="J94" s="188">
        <f t="shared" si="39"/>
        <v>73.469387755102048</v>
      </c>
      <c r="K94" s="188">
        <f t="shared" si="40"/>
        <v>24.489795918367346</v>
      </c>
      <c r="L94" s="189">
        <f t="shared" si="41"/>
        <v>2.0408163265306123</v>
      </c>
    </row>
    <row r="95" spans="1:12" s="153" customFormat="1" ht="20.25" customHeight="1">
      <c r="A95" s="191" t="s">
        <v>826</v>
      </c>
      <c r="B95" s="192">
        <v>333</v>
      </c>
      <c r="C95" s="192">
        <v>28</v>
      </c>
      <c r="D95" s="192">
        <v>213</v>
      </c>
      <c r="E95" s="192">
        <v>105</v>
      </c>
      <c r="F95" s="192">
        <v>145</v>
      </c>
      <c r="G95" s="192">
        <v>324</v>
      </c>
      <c r="H95" s="182"/>
      <c r="I95" s="187">
        <f t="shared" si="38"/>
        <v>5.4666666666666668</v>
      </c>
      <c r="J95" s="188">
        <f t="shared" si="39"/>
        <v>56.445993031358888</v>
      </c>
      <c r="K95" s="188">
        <f t="shared" si="40"/>
        <v>18.292682926829269</v>
      </c>
      <c r="L95" s="189">
        <f t="shared" si="41"/>
        <v>25.261324041811843</v>
      </c>
    </row>
    <row r="96" spans="1:12" s="153" customFormat="1" ht="20.25" customHeight="1">
      <c r="A96" s="191" t="s">
        <v>827</v>
      </c>
      <c r="B96" s="192">
        <v>29</v>
      </c>
      <c r="C96" s="192">
        <v>31</v>
      </c>
      <c r="D96" s="192">
        <v>7</v>
      </c>
      <c r="E96" s="192">
        <v>28</v>
      </c>
      <c r="F96" s="192">
        <v>6</v>
      </c>
      <c r="G96" s="192">
        <v>33</v>
      </c>
      <c r="H96" s="182"/>
      <c r="I96" s="187">
        <f t="shared" si="38"/>
        <v>2.3928571428571428</v>
      </c>
      <c r="J96" s="188">
        <f t="shared" si="39"/>
        <v>49.253731343283583</v>
      </c>
      <c r="K96" s="188">
        <f t="shared" si="40"/>
        <v>41.791044776119399</v>
      </c>
      <c r="L96" s="189">
        <f t="shared" si="41"/>
        <v>8.9552238805970141</v>
      </c>
    </row>
    <row r="97" spans="1:12" ht="20.25" customHeight="1">
      <c r="A97" s="191" t="s">
        <v>828</v>
      </c>
      <c r="B97" s="192">
        <v>195</v>
      </c>
      <c r="C97" s="192">
        <v>16</v>
      </c>
      <c r="D97" s="192">
        <v>2</v>
      </c>
      <c r="E97" s="192">
        <v>24</v>
      </c>
      <c r="F97" s="192">
        <v>1</v>
      </c>
      <c r="G97" s="192">
        <v>188</v>
      </c>
      <c r="H97" s="182"/>
      <c r="I97" s="187">
        <f t="shared" si="38"/>
        <v>8.875</v>
      </c>
      <c r="J97" s="188">
        <f t="shared" si="39"/>
        <v>88.262910798122064</v>
      </c>
      <c r="K97" s="188">
        <f t="shared" si="40"/>
        <v>11.267605633802818</v>
      </c>
      <c r="L97" s="189">
        <f t="shared" si="41"/>
        <v>0.46948356807511737</v>
      </c>
    </row>
    <row r="98" spans="1:12" s="153" customFormat="1" ht="20.25" customHeight="1">
      <c r="A98" s="194"/>
      <c r="B98" s="192"/>
      <c r="C98" s="192"/>
      <c r="D98" s="192"/>
      <c r="E98" s="192"/>
      <c r="F98" s="192"/>
      <c r="G98" s="192"/>
      <c r="H98" s="182"/>
      <c r="I98" s="187"/>
      <c r="J98" s="188"/>
      <c r="K98" s="188"/>
      <c r="L98" s="189"/>
    </row>
    <row r="99" spans="1:12" s="153" customFormat="1" ht="20.25" customHeight="1">
      <c r="A99" s="190" t="s">
        <v>829</v>
      </c>
      <c r="B99" s="181">
        <f t="shared" ref="B99:G99" si="42">SUM(B100:B106)</f>
        <v>2742</v>
      </c>
      <c r="C99" s="181">
        <f t="shared" si="42"/>
        <v>792</v>
      </c>
      <c r="D99" s="181">
        <f t="shared" si="42"/>
        <v>517</v>
      </c>
      <c r="E99" s="181">
        <f t="shared" si="42"/>
        <v>959</v>
      </c>
      <c r="F99" s="181">
        <f t="shared" si="42"/>
        <v>1022</v>
      </c>
      <c r="G99" s="181">
        <f t="shared" si="42"/>
        <v>2070</v>
      </c>
      <c r="H99" s="182"/>
      <c r="I99" s="183">
        <f t="shared" ref="I99:I106" si="43">SUM(B99:D99)/E99</f>
        <v>4.224191866527633</v>
      </c>
      <c r="J99" s="184">
        <f t="shared" ref="J99:J106" si="44">(G99/SUM(B99:D99))*100</f>
        <v>51.098494198963216</v>
      </c>
      <c r="K99" s="184">
        <f t="shared" ref="K99:K106" si="45">(E99/SUM(B99:D99))*100</f>
        <v>23.67316711922982</v>
      </c>
      <c r="L99" s="185">
        <f t="shared" ref="L99:L106" si="46">(F99/SUM(B99:D99))*100</f>
        <v>25.22833868180696</v>
      </c>
    </row>
    <row r="100" spans="1:12" s="153" customFormat="1" ht="20.25" customHeight="1">
      <c r="A100" s="191" t="s">
        <v>830</v>
      </c>
      <c r="B100" s="192">
        <v>441</v>
      </c>
      <c r="C100" s="192">
        <v>154</v>
      </c>
      <c r="D100" s="192">
        <v>113</v>
      </c>
      <c r="E100" s="192">
        <v>143</v>
      </c>
      <c r="F100" s="192">
        <v>110</v>
      </c>
      <c r="G100" s="192">
        <v>455</v>
      </c>
      <c r="H100" s="182"/>
      <c r="I100" s="187">
        <f t="shared" si="43"/>
        <v>4.9510489510489508</v>
      </c>
      <c r="J100" s="188">
        <f t="shared" si="44"/>
        <v>64.265536723163848</v>
      </c>
      <c r="K100" s="188">
        <f t="shared" si="45"/>
        <v>20.197740112994349</v>
      </c>
      <c r="L100" s="189">
        <f t="shared" si="46"/>
        <v>15.53672316384181</v>
      </c>
    </row>
    <row r="101" spans="1:12" s="153" customFormat="1" ht="20.25" customHeight="1">
      <c r="A101" s="191" t="s">
        <v>831</v>
      </c>
      <c r="B101" s="192">
        <v>1622</v>
      </c>
      <c r="C101" s="192">
        <v>339</v>
      </c>
      <c r="D101" s="192">
        <v>339</v>
      </c>
      <c r="E101" s="192">
        <v>556</v>
      </c>
      <c r="F101" s="192">
        <v>780</v>
      </c>
      <c r="G101" s="192">
        <v>964</v>
      </c>
      <c r="H101" s="182"/>
      <c r="I101" s="187">
        <f t="shared" si="43"/>
        <v>4.1366906474820144</v>
      </c>
      <c r="J101" s="188">
        <f t="shared" si="44"/>
        <v>41.913043478260867</v>
      </c>
      <c r="K101" s="188">
        <f t="shared" si="45"/>
        <v>24.173913043478258</v>
      </c>
      <c r="L101" s="189">
        <f t="shared" si="46"/>
        <v>33.913043478260867</v>
      </c>
    </row>
    <row r="102" spans="1:12" s="153" customFormat="1" ht="20.25" customHeight="1">
      <c r="A102" s="191" t="s">
        <v>720</v>
      </c>
      <c r="B102" s="192">
        <v>291</v>
      </c>
      <c r="C102" s="192">
        <v>213</v>
      </c>
      <c r="D102" s="192">
        <v>36</v>
      </c>
      <c r="E102" s="192">
        <v>136</v>
      </c>
      <c r="F102" s="192">
        <v>94</v>
      </c>
      <c r="G102" s="192">
        <v>310</v>
      </c>
      <c r="H102" s="182"/>
      <c r="I102" s="187">
        <f t="shared" si="43"/>
        <v>3.9705882352941178</v>
      </c>
      <c r="J102" s="188">
        <f t="shared" si="44"/>
        <v>57.407407407407405</v>
      </c>
      <c r="K102" s="188">
        <f t="shared" si="45"/>
        <v>25.185185185185183</v>
      </c>
      <c r="L102" s="189">
        <f t="shared" si="46"/>
        <v>17.407407407407408</v>
      </c>
    </row>
    <row r="103" spans="1:12" s="153" customFormat="1" ht="20.25" customHeight="1">
      <c r="A103" s="191" t="s">
        <v>832</v>
      </c>
      <c r="B103" s="192">
        <v>33</v>
      </c>
      <c r="C103" s="192">
        <v>17</v>
      </c>
      <c r="D103" s="192">
        <v>20</v>
      </c>
      <c r="E103" s="192">
        <v>9</v>
      </c>
      <c r="F103" s="192">
        <v>27</v>
      </c>
      <c r="G103" s="192">
        <v>34</v>
      </c>
      <c r="H103" s="182"/>
      <c r="I103" s="187">
        <f t="shared" si="43"/>
        <v>7.7777777777777777</v>
      </c>
      <c r="J103" s="188">
        <f t="shared" si="44"/>
        <v>48.571428571428569</v>
      </c>
      <c r="K103" s="188">
        <f t="shared" si="45"/>
        <v>12.857142857142856</v>
      </c>
      <c r="L103" s="189">
        <f t="shared" si="46"/>
        <v>38.571428571428577</v>
      </c>
    </row>
    <row r="104" spans="1:12" s="153" customFormat="1" ht="20.25" customHeight="1">
      <c r="A104" s="191" t="s">
        <v>833</v>
      </c>
      <c r="B104" s="192">
        <v>254</v>
      </c>
      <c r="C104" s="192">
        <v>50</v>
      </c>
      <c r="D104" s="192">
        <v>1</v>
      </c>
      <c r="E104" s="192">
        <v>87</v>
      </c>
      <c r="F104" s="192">
        <v>0</v>
      </c>
      <c r="G104" s="192">
        <v>218</v>
      </c>
      <c r="H104" s="182"/>
      <c r="I104" s="187">
        <f t="shared" si="43"/>
        <v>3.5057471264367814</v>
      </c>
      <c r="J104" s="188">
        <f t="shared" si="44"/>
        <v>71.47540983606558</v>
      </c>
      <c r="K104" s="188">
        <f t="shared" si="45"/>
        <v>28.524590163934427</v>
      </c>
      <c r="L104" s="189">
        <f t="shared" si="46"/>
        <v>0</v>
      </c>
    </row>
    <row r="105" spans="1:12" s="153" customFormat="1" ht="20.25" customHeight="1">
      <c r="A105" s="191" t="s">
        <v>834</v>
      </c>
      <c r="B105" s="192">
        <v>25</v>
      </c>
      <c r="C105" s="192">
        <v>2</v>
      </c>
      <c r="D105" s="192">
        <v>7</v>
      </c>
      <c r="E105" s="192">
        <v>3</v>
      </c>
      <c r="F105" s="192">
        <v>0</v>
      </c>
      <c r="G105" s="192">
        <v>31</v>
      </c>
      <c r="H105" s="182"/>
      <c r="I105" s="187">
        <f t="shared" si="43"/>
        <v>11.333333333333334</v>
      </c>
      <c r="J105" s="188">
        <f t="shared" si="44"/>
        <v>91.17647058823529</v>
      </c>
      <c r="K105" s="188">
        <f t="shared" si="45"/>
        <v>8.8235294117647065</v>
      </c>
      <c r="L105" s="189">
        <f t="shared" si="46"/>
        <v>0</v>
      </c>
    </row>
    <row r="106" spans="1:12" s="153" customFormat="1" ht="20.25" customHeight="1">
      <c r="A106" s="191" t="s">
        <v>835</v>
      </c>
      <c r="B106" s="192">
        <v>76</v>
      </c>
      <c r="C106" s="192">
        <v>17</v>
      </c>
      <c r="D106" s="192">
        <v>1</v>
      </c>
      <c r="E106" s="192">
        <v>25</v>
      </c>
      <c r="F106" s="192">
        <v>11</v>
      </c>
      <c r="G106" s="192">
        <v>58</v>
      </c>
      <c r="H106" s="182"/>
      <c r="I106" s="187">
        <f t="shared" si="43"/>
        <v>3.76</v>
      </c>
      <c r="J106" s="188">
        <f t="shared" si="44"/>
        <v>61.702127659574465</v>
      </c>
      <c r="K106" s="188">
        <f t="shared" si="45"/>
        <v>26.595744680851062</v>
      </c>
      <c r="L106" s="189">
        <f t="shared" si="46"/>
        <v>11.702127659574469</v>
      </c>
    </row>
    <row r="107" spans="1:12" s="153" customFormat="1" ht="20.25" customHeight="1">
      <c r="A107" s="194"/>
      <c r="B107" s="192"/>
      <c r="C107" s="192"/>
      <c r="D107" s="192"/>
      <c r="E107" s="192"/>
      <c r="F107" s="192"/>
      <c r="G107" s="192"/>
      <c r="H107" s="182"/>
      <c r="I107" s="187"/>
      <c r="J107" s="188"/>
      <c r="K107" s="188"/>
      <c r="L107" s="189"/>
    </row>
    <row r="108" spans="1:12" s="153" customFormat="1" ht="20.25" customHeight="1">
      <c r="A108" s="190" t="s">
        <v>836</v>
      </c>
      <c r="B108" s="181">
        <f t="shared" ref="B108:G108" si="47">SUM(B109:B118)</f>
        <v>2954</v>
      </c>
      <c r="C108" s="181">
        <f t="shared" si="47"/>
        <v>746</v>
      </c>
      <c r="D108" s="181">
        <f t="shared" si="47"/>
        <v>1232</v>
      </c>
      <c r="E108" s="181">
        <f t="shared" si="47"/>
        <v>961</v>
      </c>
      <c r="F108" s="181">
        <f t="shared" si="47"/>
        <v>1635</v>
      </c>
      <c r="G108" s="181">
        <f t="shared" si="47"/>
        <v>2336</v>
      </c>
      <c r="H108" s="182"/>
      <c r="I108" s="183">
        <f>SUM(B108:D108)/E108</f>
        <v>5.1321540062434963</v>
      </c>
      <c r="J108" s="184">
        <f t="shared" ref="J108:J117" si="48">(G108/SUM(B108:D108))*100</f>
        <v>47.364152473641525</v>
      </c>
      <c r="K108" s="184">
        <f t="shared" ref="K108:K117" si="49">(E108/SUM(B108:D108))*100</f>
        <v>19.48499594484996</v>
      </c>
      <c r="L108" s="185">
        <f t="shared" ref="L108:L117" si="50">(F108/SUM(B108:D108))*100</f>
        <v>33.150851581508519</v>
      </c>
    </row>
    <row r="109" spans="1:12" s="153" customFormat="1" ht="20.25" customHeight="1">
      <c r="A109" s="191" t="s">
        <v>837</v>
      </c>
      <c r="B109" s="192">
        <v>1113</v>
      </c>
      <c r="C109" s="192">
        <v>326</v>
      </c>
      <c r="D109" s="192">
        <v>629</v>
      </c>
      <c r="E109" s="192">
        <v>371</v>
      </c>
      <c r="F109" s="192">
        <v>711</v>
      </c>
      <c r="G109" s="192">
        <v>986</v>
      </c>
      <c r="H109" s="182"/>
      <c r="I109" s="187">
        <f t="shared" ref="I109:I117" si="51">SUM(B109:D109)/E109</f>
        <v>5.5741239892183287</v>
      </c>
      <c r="J109" s="188">
        <f t="shared" si="48"/>
        <v>47.678916827852994</v>
      </c>
      <c r="K109" s="188">
        <f t="shared" si="49"/>
        <v>17.940038684719536</v>
      </c>
      <c r="L109" s="189">
        <f t="shared" si="50"/>
        <v>34.381044487427467</v>
      </c>
    </row>
    <row r="110" spans="1:12" s="153" customFormat="1" ht="20.25" customHeight="1">
      <c r="A110" s="191" t="s">
        <v>838</v>
      </c>
      <c r="B110" s="192">
        <v>270</v>
      </c>
      <c r="C110" s="192">
        <v>89</v>
      </c>
      <c r="D110" s="192">
        <v>70</v>
      </c>
      <c r="E110" s="192">
        <v>84</v>
      </c>
      <c r="F110" s="192">
        <v>71</v>
      </c>
      <c r="G110" s="192">
        <v>274</v>
      </c>
      <c r="H110" s="182"/>
      <c r="I110" s="187">
        <f t="shared" si="51"/>
        <v>5.1071428571428568</v>
      </c>
      <c r="J110" s="188">
        <f t="shared" si="48"/>
        <v>63.869463869463871</v>
      </c>
      <c r="K110" s="188">
        <f t="shared" si="49"/>
        <v>19.58041958041958</v>
      </c>
      <c r="L110" s="189">
        <f t="shared" si="50"/>
        <v>16.550116550116549</v>
      </c>
    </row>
    <row r="111" spans="1:12" s="153" customFormat="1" ht="20.25" customHeight="1">
      <c r="A111" s="191" t="s">
        <v>839</v>
      </c>
      <c r="B111" s="192">
        <v>950</v>
      </c>
      <c r="C111" s="192">
        <v>184</v>
      </c>
      <c r="D111" s="192">
        <v>425</v>
      </c>
      <c r="E111" s="192">
        <v>228</v>
      </c>
      <c r="F111" s="192">
        <v>722</v>
      </c>
      <c r="G111" s="192">
        <v>609</v>
      </c>
      <c r="H111" s="182"/>
      <c r="I111" s="187">
        <f t="shared" si="51"/>
        <v>6.8377192982456139</v>
      </c>
      <c r="J111" s="188">
        <f t="shared" si="48"/>
        <v>39.063502245028864</v>
      </c>
      <c r="K111" s="188">
        <f t="shared" si="49"/>
        <v>14.624759461193074</v>
      </c>
      <c r="L111" s="189">
        <f t="shared" si="50"/>
        <v>46.311738293778063</v>
      </c>
    </row>
    <row r="112" spans="1:12" s="153" customFormat="1" ht="20.25" customHeight="1">
      <c r="A112" s="191" t="s">
        <v>840</v>
      </c>
      <c r="B112" s="192">
        <v>38</v>
      </c>
      <c r="C112" s="192">
        <v>23</v>
      </c>
      <c r="D112" s="192">
        <v>16</v>
      </c>
      <c r="E112" s="192">
        <v>23</v>
      </c>
      <c r="F112" s="192">
        <v>16</v>
      </c>
      <c r="G112" s="192">
        <v>38</v>
      </c>
      <c r="H112" s="182"/>
      <c r="I112" s="187">
        <f t="shared" si="51"/>
        <v>3.347826086956522</v>
      </c>
      <c r="J112" s="188">
        <f t="shared" si="48"/>
        <v>49.350649350649348</v>
      </c>
      <c r="K112" s="188">
        <f t="shared" si="49"/>
        <v>29.870129870129869</v>
      </c>
      <c r="L112" s="189">
        <f t="shared" si="50"/>
        <v>20.779220779220779</v>
      </c>
    </row>
    <row r="113" spans="1:12" s="153" customFormat="1" ht="20.25" customHeight="1">
      <c r="A113" s="191" t="s">
        <v>841</v>
      </c>
      <c r="B113" s="192">
        <v>22</v>
      </c>
      <c r="C113" s="192">
        <v>10</v>
      </c>
      <c r="D113" s="192">
        <v>1</v>
      </c>
      <c r="E113" s="192">
        <v>17</v>
      </c>
      <c r="F113" s="192">
        <v>1</v>
      </c>
      <c r="G113" s="192">
        <v>15</v>
      </c>
      <c r="H113" s="182"/>
      <c r="I113" s="187">
        <f t="shared" si="51"/>
        <v>1.9411764705882353</v>
      </c>
      <c r="J113" s="188">
        <f t="shared" si="48"/>
        <v>45.454545454545453</v>
      </c>
      <c r="K113" s="188">
        <f t="shared" si="49"/>
        <v>51.515151515151516</v>
      </c>
      <c r="L113" s="189">
        <f t="shared" si="50"/>
        <v>3.0303030303030303</v>
      </c>
    </row>
    <row r="114" spans="1:12" s="153" customFormat="1" ht="20.25" customHeight="1">
      <c r="A114" s="194" t="s">
        <v>704</v>
      </c>
      <c r="B114" s="192">
        <v>144</v>
      </c>
      <c r="C114" s="192">
        <v>46</v>
      </c>
      <c r="D114" s="192">
        <v>20</v>
      </c>
      <c r="E114" s="192">
        <v>81</v>
      </c>
      <c r="F114" s="192">
        <v>72</v>
      </c>
      <c r="G114" s="192">
        <v>57</v>
      </c>
      <c r="H114" s="182"/>
      <c r="I114" s="187">
        <f t="shared" si="51"/>
        <v>2.5925925925925926</v>
      </c>
      <c r="J114" s="188">
        <f t="shared" si="48"/>
        <v>27.142857142857142</v>
      </c>
      <c r="K114" s="188">
        <f t="shared" si="49"/>
        <v>38.571428571428577</v>
      </c>
      <c r="L114" s="189">
        <f t="shared" si="50"/>
        <v>34.285714285714285</v>
      </c>
    </row>
    <row r="115" spans="1:12" s="153" customFormat="1" ht="20.25" customHeight="1">
      <c r="A115" s="191" t="s">
        <v>842</v>
      </c>
      <c r="B115" s="192">
        <v>354</v>
      </c>
      <c r="C115" s="192">
        <v>30</v>
      </c>
      <c r="D115" s="192">
        <v>67</v>
      </c>
      <c r="E115" s="192">
        <v>115</v>
      </c>
      <c r="F115" s="192">
        <v>21</v>
      </c>
      <c r="G115" s="192">
        <v>315</v>
      </c>
      <c r="H115" s="182"/>
      <c r="I115" s="187">
        <f t="shared" si="51"/>
        <v>3.9217391304347826</v>
      </c>
      <c r="J115" s="188">
        <f t="shared" si="48"/>
        <v>69.844789356984478</v>
      </c>
      <c r="K115" s="188">
        <f t="shared" si="49"/>
        <v>25.49889135254989</v>
      </c>
      <c r="L115" s="189">
        <f t="shared" si="50"/>
        <v>4.6563192904656319</v>
      </c>
    </row>
    <row r="116" spans="1:12" s="153" customFormat="1" ht="20.25" customHeight="1">
      <c r="A116" s="191" t="s">
        <v>843</v>
      </c>
      <c r="B116" s="192">
        <v>24</v>
      </c>
      <c r="C116" s="192">
        <v>16</v>
      </c>
      <c r="D116" s="192">
        <v>1</v>
      </c>
      <c r="E116" s="192">
        <v>9</v>
      </c>
      <c r="F116" s="192">
        <v>0</v>
      </c>
      <c r="G116" s="192">
        <v>32</v>
      </c>
      <c r="H116" s="182"/>
      <c r="I116" s="187">
        <f t="shared" si="51"/>
        <v>4.5555555555555554</v>
      </c>
      <c r="J116" s="188">
        <f t="shared" si="48"/>
        <v>78.048780487804876</v>
      </c>
      <c r="K116" s="188">
        <f t="shared" si="49"/>
        <v>21.951219512195124</v>
      </c>
      <c r="L116" s="189">
        <f t="shared" si="50"/>
        <v>0</v>
      </c>
    </row>
    <row r="117" spans="1:12" ht="20.25" customHeight="1">
      <c r="A117" s="191" t="s">
        <v>844</v>
      </c>
      <c r="B117" s="192">
        <v>37</v>
      </c>
      <c r="C117" s="192">
        <v>15</v>
      </c>
      <c r="D117" s="192">
        <v>3</v>
      </c>
      <c r="E117" s="192">
        <v>29</v>
      </c>
      <c r="F117" s="192">
        <v>19</v>
      </c>
      <c r="G117" s="192">
        <v>7</v>
      </c>
      <c r="H117" s="182"/>
      <c r="I117" s="187">
        <f t="shared" si="51"/>
        <v>1.896551724137931</v>
      </c>
      <c r="J117" s="188">
        <f t="shared" si="48"/>
        <v>12.727272727272727</v>
      </c>
      <c r="K117" s="188">
        <f t="shared" si="49"/>
        <v>52.72727272727272</v>
      </c>
      <c r="L117" s="189">
        <f t="shared" si="50"/>
        <v>34.545454545454547</v>
      </c>
    </row>
    <row r="118" spans="1:12" ht="20.25" customHeight="1">
      <c r="A118" s="191" t="s">
        <v>430</v>
      </c>
      <c r="B118" s="192">
        <v>2</v>
      </c>
      <c r="C118" s="192">
        <v>7</v>
      </c>
      <c r="D118" s="192">
        <v>0</v>
      </c>
      <c r="E118" s="192">
        <v>4</v>
      </c>
      <c r="F118" s="192">
        <v>2</v>
      </c>
      <c r="G118" s="192">
        <v>3</v>
      </c>
      <c r="H118" s="182"/>
      <c r="I118" s="187"/>
      <c r="J118" s="188"/>
      <c r="K118" s="188"/>
      <c r="L118" s="189"/>
    </row>
    <row r="119" spans="1:12" s="153" customFormat="1" ht="20.25" customHeight="1">
      <c r="A119" s="194"/>
      <c r="B119" s="192"/>
      <c r="C119" s="192"/>
      <c r="D119" s="192"/>
      <c r="E119" s="192"/>
      <c r="F119" s="192"/>
      <c r="G119" s="192"/>
      <c r="H119" s="182"/>
      <c r="I119" s="187"/>
      <c r="J119" s="188"/>
      <c r="K119" s="188"/>
      <c r="L119" s="189"/>
    </row>
    <row r="120" spans="1:12" s="153" customFormat="1" ht="20.25" customHeight="1">
      <c r="A120" s="190" t="s">
        <v>845</v>
      </c>
      <c r="B120" s="181">
        <f t="shared" ref="B120:G120" si="52">SUM(B121:B124)</f>
        <v>1307</v>
      </c>
      <c r="C120" s="181">
        <f t="shared" si="52"/>
        <v>403</v>
      </c>
      <c r="D120" s="181">
        <f t="shared" si="52"/>
        <v>358</v>
      </c>
      <c r="E120" s="181">
        <f t="shared" si="52"/>
        <v>525</v>
      </c>
      <c r="F120" s="181">
        <f t="shared" si="52"/>
        <v>459</v>
      </c>
      <c r="G120" s="181">
        <f t="shared" si="52"/>
        <v>1084</v>
      </c>
      <c r="H120" s="182"/>
      <c r="I120" s="183">
        <f>SUM(B120:D120)/E120</f>
        <v>3.9390476190476189</v>
      </c>
      <c r="J120" s="184">
        <f>(G120/SUM(B120:D120))*100</f>
        <v>52.417794970986463</v>
      </c>
      <c r="K120" s="184">
        <f>(E120/SUM(B120:D120))*100</f>
        <v>25.386847195357831</v>
      </c>
      <c r="L120" s="185">
        <f>(F120/SUM(B120:D120))*100</f>
        <v>22.195357833655706</v>
      </c>
    </row>
    <row r="121" spans="1:12" s="153" customFormat="1" ht="20.25" customHeight="1">
      <c r="A121" s="191" t="s">
        <v>846</v>
      </c>
      <c r="B121" s="192">
        <v>480</v>
      </c>
      <c r="C121" s="192">
        <v>194</v>
      </c>
      <c r="D121" s="192">
        <v>205</v>
      </c>
      <c r="E121" s="192">
        <v>201</v>
      </c>
      <c r="F121" s="192">
        <v>186</v>
      </c>
      <c r="G121" s="192">
        <v>492</v>
      </c>
      <c r="H121" s="182"/>
      <c r="I121" s="187">
        <f>SUM(B121:D121)/E121</f>
        <v>4.3731343283582094</v>
      </c>
      <c r="J121" s="188">
        <f>(G121/SUM(B121:D121))*100</f>
        <v>55.972696245733786</v>
      </c>
      <c r="K121" s="188">
        <f>(E121/SUM(B121:D121))*100</f>
        <v>22.866894197952217</v>
      </c>
      <c r="L121" s="189">
        <f>(F121/SUM(B121:D121))*100</f>
        <v>21.160409556313994</v>
      </c>
    </row>
    <row r="122" spans="1:12" s="153" customFormat="1" ht="20.25" customHeight="1">
      <c r="A122" s="191" t="s">
        <v>847</v>
      </c>
      <c r="B122" s="192">
        <v>159</v>
      </c>
      <c r="C122" s="192">
        <v>53</v>
      </c>
      <c r="D122" s="192">
        <v>9</v>
      </c>
      <c r="E122" s="192">
        <v>48</v>
      </c>
      <c r="F122" s="192">
        <v>62</v>
      </c>
      <c r="G122" s="192">
        <v>111</v>
      </c>
      <c r="H122" s="182"/>
      <c r="I122" s="187">
        <f>SUM(B122:D122)/E122</f>
        <v>4.604166666666667</v>
      </c>
      <c r="J122" s="188">
        <f>(G122/SUM(B122:D122))*100</f>
        <v>50.226244343891402</v>
      </c>
      <c r="K122" s="188">
        <f>(E122/SUM(B122:D122))*100</f>
        <v>21.719457013574662</v>
      </c>
      <c r="L122" s="189">
        <f>(F122/SUM(B122:D122))*100</f>
        <v>28.054298642533936</v>
      </c>
    </row>
    <row r="123" spans="1:12" s="153" customFormat="1" ht="20.25" customHeight="1">
      <c r="A123" s="191" t="s">
        <v>961</v>
      </c>
      <c r="B123" s="192">
        <v>582</v>
      </c>
      <c r="C123" s="192">
        <v>137</v>
      </c>
      <c r="D123" s="192">
        <v>117</v>
      </c>
      <c r="E123" s="192">
        <v>253</v>
      </c>
      <c r="F123" s="192">
        <v>168</v>
      </c>
      <c r="G123" s="192">
        <v>415</v>
      </c>
      <c r="H123" s="182"/>
      <c r="I123" s="187">
        <f>SUM(B123:D123)/E123</f>
        <v>3.3043478260869565</v>
      </c>
      <c r="J123" s="188">
        <f>(G123/SUM(B123:D123))*100</f>
        <v>49.641148325358856</v>
      </c>
      <c r="K123" s="188">
        <f>(E123/SUM(B123:D123))*100</f>
        <v>30.263157894736842</v>
      </c>
      <c r="L123" s="189">
        <f>(F123/SUM(B123:D123))*100</f>
        <v>20.095693779904305</v>
      </c>
    </row>
    <row r="124" spans="1:12" s="153" customFormat="1" ht="20.25" customHeight="1">
      <c r="A124" s="191" t="s">
        <v>848</v>
      </c>
      <c r="B124" s="192">
        <v>86</v>
      </c>
      <c r="C124" s="192">
        <v>19</v>
      </c>
      <c r="D124" s="192">
        <v>27</v>
      </c>
      <c r="E124" s="192">
        <v>23</v>
      </c>
      <c r="F124" s="192">
        <v>43</v>
      </c>
      <c r="G124" s="192">
        <v>66</v>
      </c>
      <c r="H124" s="182"/>
      <c r="I124" s="187">
        <f>SUM(B124:D124)/E124</f>
        <v>5.7391304347826084</v>
      </c>
      <c r="J124" s="188">
        <f>(G124/SUM(B124:D124))*100</f>
        <v>50</v>
      </c>
      <c r="K124" s="188">
        <f>(E124/SUM(B124:D124))*100</f>
        <v>17.424242424242426</v>
      </c>
      <c r="L124" s="189">
        <f>(F124/SUM(B124:D124))*100</f>
        <v>32.575757575757578</v>
      </c>
    </row>
    <row r="125" spans="1:12" s="153" customFormat="1" ht="20.25" customHeight="1">
      <c r="A125" s="194"/>
      <c r="B125" s="192"/>
      <c r="C125" s="192"/>
      <c r="D125" s="192"/>
      <c r="E125" s="192"/>
      <c r="F125" s="192"/>
      <c r="G125" s="192"/>
      <c r="H125" s="182"/>
      <c r="I125" s="187"/>
      <c r="J125" s="188"/>
      <c r="K125" s="188"/>
      <c r="L125" s="189"/>
    </row>
    <row r="126" spans="1:12" s="153" customFormat="1" ht="20.25" customHeight="1">
      <c r="A126" s="190" t="s">
        <v>849</v>
      </c>
      <c r="B126" s="181">
        <f t="shared" ref="B126:G126" si="53">SUM(B127:B134)</f>
        <v>1426</v>
      </c>
      <c r="C126" s="181">
        <f t="shared" si="53"/>
        <v>429</v>
      </c>
      <c r="D126" s="181">
        <f t="shared" si="53"/>
        <v>506</v>
      </c>
      <c r="E126" s="181">
        <f t="shared" si="53"/>
        <v>682</v>
      </c>
      <c r="F126" s="181">
        <f t="shared" si="53"/>
        <v>484</v>
      </c>
      <c r="G126" s="181">
        <f t="shared" si="53"/>
        <v>1195</v>
      </c>
      <c r="H126" s="182"/>
      <c r="I126" s="183">
        <f t="shared" ref="I126:I133" si="54">SUM(B126:D126)/E126</f>
        <v>3.4618768328445748</v>
      </c>
      <c r="J126" s="184">
        <f t="shared" ref="J126:J133" si="55">(G126/SUM(B126:D126))*100</f>
        <v>50.614146548072846</v>
      </c>
      <c r="K126" s="184">
        <f t="shared" ref="K126:K133" si="56">(E126/SUM(B126:D126))*100</f>
        <v>28.886065226598902</v>
      </c>
      <c r="L126" s="185">
        <f t="shared" ref="L126:L133" si="57">(F126/SUM(B126:D126))*100</f>
        <v>20.499788225328249</v>
      </c>
    </row>
    <row r="127" spans="1:12" s="153" customFormat="1" ht="20.25" customHeight="1">
      <c r="A127" s="191" t="s">
        <v>850</v>
      </c>
      <c r="B127" s="192">
        <v>508</v>
      </c>
      <c r="C127" s="192">
        <v>105</v>
      </c>
      <c r="D127" s="192">
        <v>135</v>
      </c>
      <c r="E127" s="192">
        <v>151</v>
      </c>
      <c r="F127" s="192">
        <v>253</v>
      </c>
      <c r="G127" s="192">
        <v>344</v>
      </c>
      <c r="H127" s="182"/>
      <c r="I127" s="187">
        <f t="shared" si="54"/>
        <v>4.9536423841059607</v>
      </c>
      <c r="J127" s="188">
        <f t="shared" si="55"/>
        <v>45.989304812834227</v>
      </c>
      <c r="K127" s="188">
        <f t="shared" si="56"/>
        <v>20.18716577540107</v>
      </c>
      <c r="L127" s="189">
        <f t="shared" si="57"/>
        <v>33.82352941176471</v>
      </c>
    </row>
    <row r="128" spans="1:12" s="153" customFormat="1" ht="20.25" customHeight="1">
      <c r="A128" s="191" t="s">
        <v>851</v>
      </c>
      <c r="B128" s="192">
        <v>213</v>
      </c>
      <c r="C128" s="192">
        <v>112</v>
      </c>
      <c r="D128" s="192">
        <v>113</v>
      </c>
      <c r="E128" s="192">
        <v>193</v>
      </c>
      <c r="F128" s="192">
        <v>61</v>
      </c>
      <c r="G128" s="192">
        <v>184</v>
      </c>
      <c r="H128" s="182"/>
      <c r="I128" s="187">
        <f t="shared" si="54"/>
        <v>2.2694300518134716</v>
      </c>
      <c r="J128" s="188">
        <f t="shared" si="55"/>
        <v>42.009132420091319</v>
      </c>
      <c r="K128" s="188">
        <f t="shared" si="56"/>
        <v>44.06392694063927</v>
      </c>
      <c r="L128" s="189">
        <f t="shared" si="57"/>
        <v>13.926940639269406</v>
      </c>
    </row>
    <row r="129" spans="1:12" s="153" customFormat="1" ht="20.25" customHeight="1">
      <c r="A129" s="191" t="s">
        <v>852</v>
      </c>
      <c r="B129" s="192">
        <v>141</v>
      </c>
      <c r="C129" s="192">
        <v>65</v>
      </c>
      <c r="D129" s="192">
        <v>27</v>
      </c>
      <c r="E129" s="192">
        <v>67</v>
      </c>
      <c r="F129" s="192">
        <v>24</v>
      </c>
      <c r="G129" s="192">
        <v>142</v>
      </c>
      <c r="H129" s="182"/>
      <c r="I129" s="187">
        <f t="shared" si="54"/>
        <v>3.4776119402985075</v>
      </c>
      <c r="J129" s="188">
        <f t="shared" si="55"/>
        <v>60.944206008583691</v>
      </c>
      <c r="K129" s="188">
        <f t="shared" si="56"/>
        <v>28.75536480686695</v>
      </c>
      <c r="L129" s="189">
        <f t="shared" si="57"/>
        <v>10.300429184549357</v>
      </c>
    </row>
    <row r="130" spans="1:12" s="153" customFormat="1" ht="20.25" customHeight="1">
      <c r="A130" s="191" t="s">
        <v>853</v>
      </c>
      <c r="B130" s="192">
        <v>158</v>
      </c>
      <c r="C130" s="192">
        <v>33</v>
      </c>
      <c r="D130" s="192">
        <v>3</v>
      </c>
      <c r="E130" s="192">
        <v>107</v>
      </c>
      <c r="F130" s="192">
        <v>1</v>
      </c>
      <c r="G130" s="192">
        <v>86</v>
      </c>
      <c r="H130" s="182"/>
      <c r="I130" s="187">
        <f t="shared" si="54"/>
        <v>1.8130841121495327</v>
      </c>
      <c r="J130" s="188">
        <f t="shared" si="55"/>
        <v>44.329896907216494</v>
      </c>
      <c r="K130" s="188">
        <f t="shared" si="56"/>
        <v>55.154639175257735</v>
      </c>
      <c r="L130" s="189">
        <f t="shared" si="57"/>
        <v>0.51546391752577314</v>
      </c>
    </row>
    <row r="131" spans="1:12" s="153" customFormat="1" ht="20.25" customHeight="1">
      <c r="A131" s="191" t="s">
        <v>854</v>
      </c>
      <c r="B131" s="192">
        <v>128</v>
      </c>
      <c r="C131" s="192">
        <v>25</v>
      </c>
      <c r="D131" s="192">
        <v>23</v>
      </c>
      <c r="E131" s="192">
        <v>32</v>
      </c>
      <c r="F131" s="192">
        <v>5</v>
      </c>
      <c r="G131" s="192">
        <v>139</v>
      </c>
      <c r="H131" s="182"/>
      <c r="I131" s="187">
        <f t="shared" si="54"/>
        <v>5.5</v>
      </c>
      <c r="J131" s="188">
        <f t="shared" si="55"/>
        <v>78.977272727272734</v>
      </c>
      <c r="K131" s="188">
        <f t="shared" si="56"/>
        <v>18.181818181818183</v>
      </c>
      <c r="L131" s="189">
        <f t="shared" si="57"/>
        <v>2.8409090909090908</v>
      </c>
    </row>
    <row r="132" spans="1:12" s="153" customFormat="1" ht="20.25" customHeight="1">
      <c r="A132" s="191" t="s">
        <v>855</v>
      </c>
      <c r="B132" s="192">
        <v>244</v>
      </c>
      <c r="C132" s="192">
        <v>39</v>
      </c>
      <c r="D132" s="192">
        <v>170</v>
      </c>
      <c r="E132" s="192">
        <v>97</v>
      </c>
      <c r="F132" s="192">
        <v>103</v>
      </c>
      <c r="G132" s="192">
        <v>253</v>
      </c>
      <c r="H132" s="182"/>
      <c r="I132" s="187">
        <f t="shared" si="54"/>
        <v>4.6701030927835054</v>
      </c>
      <c r="J132" s="188">
        <f t="shared" si="55"/>
        <v>55.849889624724057</v>
      </c>
      <c r="K132" s="188">
        <f t="shared" si="56"/>
        <v>21.41280353200883</v>
      </c>
      <c r="L132" s="189">
        <f t="shared" si="57"/>
        <v>22.737306843267106</v>
      </c>
    </row>
    <row r="133" spans="1:12" s="153" customFormat="1" ht="20.25" customHeight="1">
      <c r="A133" s="191" t="s">
        <v>856</v>
      </c>
      <c r="B133" s="192">
        <v>26</v>
      </c>
      <c r="C133" s="192">
        <v>39</v>
      </c>
      <c r="D133" s="192">
        <v>35</v>
      </c>
      <c r="E133" s="192">
        <v>33</v>
      </c>
      <c r="F133" s="192">
        <v>28</v>
      </c>
      <c r="G133" s="192">
        <v>39</v>
      </c>
      <c r="H133" s="182"/>
      <c r="I133" s="187">
        <f t="shared" si="54"/>
        <v>3.0303030303030303</v>
      </c>
      <c r="J133" s="188">
        <f t="shared" si="55"/>
        <v>39</v>
      </c>
      <c r="K133" s="188">
        <f t="shared" si="56"/>
        <v>33</v>
      </c>
      <c r="L133" s="189">
        <f t="shared" si="57"/>
        <v>28.000000000000004</v>
      </c>
    </row>
    <row r="134" spans="1:12" s="153" customFormat="1" ht="20.25" customHeight="1">
      <c r="A134" s="191" t="s">
        <v>962</v>
      </c>
      <c r="B134" s="192">
        <v>8</v>
      </c>
      <c r="C134" s="192">
        <v>11</v>
      </c>
      <c r="D134" s="192">
        <v>0</v>
      </c>
      <c r="E134" s="192">
        <v>2</v>
      </c>
      <c r="F134" s="192">
        <v>9</v>
      </c>
      <c r="G134" s="192">
        <v>8</v>
      </c>
      <c r="H134" s="182"/>
      <c r="I134" s="187"/>
      <c r="J134" s="188"/>
      <c r="K134" s="188"/>
      <c r="L134" s="189"/>
    </row>
    <row r="135" spans="1:12" s="153" customFormat="1" ht="20.25" customHeight="1">
      <c r="A135" s="194"/>
      <c r="B135" s="192"/>
      <c r="C135" s="192"/>
      <c r="D135" s="192"/>
      <c r="E135" s="192"/>
      <c r="F135" s="192"/>
      <c r="G135" s="192"/>
      <c r="H135" s="182"/>
      <c r="I135" s="187"/>
      <c r="J135" s="188"/>
      <c r="K135" s="188"/>
      <c r="L135" s="189"/>
    </row>
    <row r="136" spans="1:12" s="153" customFormat="1" ht="20.25" customHeight="1">
      <c r="A136" s="190" t="s">
        <v>857</v>
      </c>
      <c r="B136" s="181">
        <f t="shared" ref="B136:G136" si="58">SUM(B137:B140)</f>
        <v>1288</v>
      </c>
      <c r="C136" s="181">
        <f t="shared" si="58"/>
        <v>479</v>
      </c>
      <c r="D136" s="181">
        <f t="shared" si="58"/>
        <v>516</v>
      </c>
      <c r="E136" s="181">
        <f t="shared" si="58"/>
        <v>486</v>
      </c>
      <c r="F136" s="181">
        <f t="shared" si="58"/>
        <v>508</v>
      </c>
      <c r="G136" s="181">
        <f t="shared" si="58"/>
        <v>1289</v>
      </c>
      <c r="H136" s="182"/>
      <c r="I136" s="183">
        <f>SUM(B136:D136)/E136</f>
        <v>4.6975308641975309</v>
      </c>
      <c r="J136" s="184">
        <f>(G136/SUM(B136:D136))*100</f>
        <v>56.460797196671045</v>
      </c>
      <c r="K136" s="184">
        <f>(E136/SUM(B136:D136))*100</f>
        <v>21.287779237844941</v>
      </c>
      <c r="L136" s="185">
        <f>(F136/SUM(B136:D136))*100</f>
        <v>22.251423565484014</v>
      </c>
    </row>
    <row r="137" spans="1:12" s="153" customFormat="1" ht="20.25" customHeight="1">
      <c r="A137" s="191" t="s">
        <v>963</v>
      </c>
      <c r="B137" s="192">
        <v>708</v>
      </c>
      <c r="C137" s="192">
        <v>255</v>
      </c>
      <c r="D137" s="192">
        <v>171</v>
      </c>
      <c r="E137" s="192">
        <v>210</v>
      </c>
      <c r="F137" s="192">
        <v>307</v>
      </c>
      <c r="G137" s="192">
        <v>617</v>
      </c>
      <c r="H137" s="182"/>
      <c r="I137" s="187">
        <f>SUM(B137:D137)/E137</f>
        <v>5.4</v>
      </c>
      <c r="J137" s="188">
        <f>(G137/SUM(B137:D137))*100</f>
        <v>54.409171075837747</v>
      </c>
      <c r="K137" s="188">
        <f>(E137/SUM(B137:D137))*100</f>
        <v>18.518518518518519</v>
      </c>
      <c r="L137" s="189">
        <f>(F137/SUM(B137:D137))*100</f>
        <v>27.072310405643741</v>
      </c>
    </row>
    <row r="138" spans="1:12" s="153" customFormat="1" ht="20.25" customHeight="1">
      <c r="A138" s="191" t="s">
        <v>964</v>
      </c>
      <c r="B138" s="192">
        <v>497</v>
      </c>
      <c r="C138" s="192">
        <v>157</v>
      </c>
      <c r="D138" s="192">
        <v>339</v>
      </c>
      <c r="E138" s="192">
        <v>254</v>
      </c>
      <c r="F138" s="192">
        <v>153</v>
      </c>
      <c r="G138" s="192">
        <v>586</v>
      </c>
      <c r="H138" s="182"/>
      <c r="I138" s="187">
        <f>SUM(B138:D138)/E138</f>
        <v>3.909448818897638</v>
      </c>
      <c r="J138" s="188">
        <f>(G138/SUM(B138:D138))*100</f>
        <v>59.013091641490433</v>
      </c>
      <c r="K138" s="188">
        <f>(E138/SUM(B138:D138))*100</f>
        <v>25.579053373615306</v>
      </c>
      <c r="L138" s="189">
        <f>(F138/SUM(B138:D138))*100</f>
        <v>15.407854984894259</v>
      </c>
    </row>
    <row r="139" spans="1:12" s="153" customFormat="1" ht="20.25" customHeight="1">
      <c r="A139" s="191" t="s">
        <v>858</v>
      </c>
      <c r="B139" s="192">
        <v>8</v>
      </c>
      <c r="C139" s="192">
        <v>15</v>
      </c>
      <c r="D139" s="192">
        <v>1</v>
      </c>
      <c r="E139" s="192">
        <v>10</v>
      </c>
      <c r="F139" s="192">
        <v>0</v>
      </c>
      <c r="G139" s="192">
        <v>14</v>
      </c>
      <c r="H139" s="182"/>
      <c r="I139" s="187">
        <f>SUM(B139:D139)/E139</f>
        <v>2.4</v>
      </c>
      <c r="J139" s="188">
        <f>(G139/SUM(B139:D139))*100</f>
        <v>58.333333333333336</v>
      </c>
      <c r="K139" s="188">
        <f>(E139/SUM(B139:D139))*100</f>
        <v>41.666666666666671</v>
      </c>
      <c r="L139" s="189">
        <f>(F139/SUM(B139:D139))*100</f>
        <v>0</v>
      </c>
    </row>
    <row r="140" spans="1:12" s="153" customFormat="1" ht="20.25" customHeight="1">
      <c r="A140" s="191" t="s">
        <v>859</v>
      </c>
      <c r="B140" s="192">
        <v>75</v>
      </c>
      <c r="C140" s="192">
        <v>52</v>
      </c>
      <c r="D140" s="192">
        <v>5</v>
      </c>
      <c r="E140" s="192">
        <v>12</v>
      </c>
      <c r="F140" s="192">
        <v>48</v>
      </c>
      <c r="G140" s="192">
        <v>72</v>
      </c>
      <c r="H140" s="182"/>
      <c r="I140" s="187">
        <f>SUM(B140:D140)/E140</f>
        <v>11</v>
      </c>
      <c r="J140" s="188">
        <f>(G140/SUM(B140:D140))*100</f>
        <v>54.54545454545454</v>
      </c>
      <c r="K140" s="188">
        <f>(E140/SUM(B140:D140))*100</f>
        <v>9.0909090909090917</v>
      </c>
      <c r="L140" s="189">
        <f>(F140/SUM(B140:D140))*100</f>
        <v>36.363636363636367</v>
      </c>
    </row>
    <row r="141" spans="1:12" s="153" customFormat="1" ht="20.25" customHeight="1">
      <c r="A141" s="194"/>
      <c r="B141" s="192"/>
      <c r="C141" s="192"/>
      <c r="D141" s="192"/>
      <c r="E141" s="192"/>
      <c r="F141" s="192"/>
      <c r="G141" s="192"/>
      <c r="H141" s="182"/>
      <c r="I141" s="187"/>
      <c r="J141" s="188"/>
      <c r="K141" s="188"/>
      <c r="L141" s="189"/>
    </row>
    <row r="142" spans="1:12" s="153" customFormat="1" ht="20.25" customHeight="1">
      <c r="A142" s="190" t="s">
        <v>860</v>
      </c>
      <c r="B142" s="181">
        <f t="shared" ref="B142:G142" si="59">SUM(B143:B146)</f>
        <v>1167</v>
      </c>
      <c r="C142" s="181">
        <f t="shared" si="59"/>
        <v>460</v>
      </c>
      <c r="D142" s="181">
        <f t="shared" si="59"/>
        <v>390</v>
      </c>
      <c r="E142" s="181">
        <f t="shared" si="59"/>
        <v>467</v>
      </c>
      <c r="F142" s="181">
        <f t="shared" si="59"/>
        <v>382</v>
      </c>
      <c r="G142" s="181">
        <f t="shared" si="59"/>
        <v>1168</v>
      </c>
      <c r="H142" s="182"/>
      <c r="I142" s="183">
        <f>SUM(B142:D142)/E142</f>
        <v>4.3190578158458246</v>
      </c>
      <c r="J142" s="184">
        <f>(G142/SUM(B142:D142))*100</f>
        <v>57.907783837382254</v>
      </c>
      <c r="K142" s="184">
        <f>(E142/SUM(B142:D142))*100</f>
        <v>23.153197818542388</v>
      </c>
      <c r="L142" s="185">
        <f>(F142/SUM(B142:D142))*100</f>
        <v>18.939018344075357</v>
      </c>
    </row>
    <row r="143" spans="1:12" s="153" customFormat="1" ht="20.25" customHeight="1">
      <c r="A143" s="191" t="s">
        <v>861</v>
      </c>
      <c r="B143" s="192">
        <v>675</v>
      </c>
      <c r="C143" s="192">
        <v>308</v>
      </c>
      <c r="D143" s="192">
        <v>157</v>
      </c>
      <c r="E143" s="192">
        <v>221</v>
      </c>
      <c r="F143" s="192">
        <v>152</v>
      </c>
      <c r="G143" s="192">
        <v>767</v>
      </c>
      <c r="H143" s="182"/>
      <c r="I143" s="187">
        <f>SUM(B143:D143)/E143</f>
        <v>5.1583710407239822</v>
      </c>
      <c r="J143" s="188">
        <f>(G143/SUM(B143:D143))*100</f>
        <v>67.280701754385959</v>
      </c>
      <c r="K143" s="188">
        <f>(E143/SUM(B143:D143))*100</f>
        <v>19.385964912280702</v>
      </c>
      <c r="L143" s="189">
        <f>(F143/SUM(B143:D143))*100</f>
        <v>13.333333333333334</v>
      </c>
    </row>
    <row r="144" spans="1:12" s="153" customFormat="1" ht="20.25" customHeight="1">
      <c r="A144" s="191" t="s">
        <v>862</v>
      </c>
      <c r="B144" s="192">
        <v>268</v>
      </c>
      <c r="C144" s="192">
        <v>90</v>
      </c>
      <c r="D144" s="192">
        <v>58</v>
      </c>
      <c r="E144" s="192">
        <v>123</v>
      </c>
      <c r="F144" s="192">
        <v>72</v>
      </c>
      <c r="G144" s="192">
        <v>221</v>
      </c>
      <c r="H144" s="182"/>
      <c r="I144" s="187">
        <f>SUM(B144:D144)/E144</f>
        <v>3.3821138211382116</v>
      </c>
      <c r="J144" s="188">
        <f>(G144/SUM(B144:D144))*100</f>
        <v>53.125</v>
      </c>
      <c r="K144" s="188">
        <f>(E144/SUM(B144:D144))*100</f>
        <v>29.567307692307693</v>
      </c>
      <c r="L144" s="189">
        <f>(F144/SUM(B144:D144))*100</f>
        <v>17.307692307692307</v>
      </c>
    </row>
    <row r="145" spans="1:12" s="153" customFormat="1" ht="20.25" customHeight="1">
      <c r="A145" s="191" t="s">
        <v>863</v>
      </c>
      <c r="B145" s="192">
        <v>89</v>
      </c>
      <c r="C145" s="192">
        <v>15</v>
      </c>
      <c r="D145" s="192">
        <v>48</v>
      </c>
      <c r="E145" s="192">
        <v>50</v>
      </c>
      <c r="F145" s="192">
        <v>32</v>
      </c>
      <c r="G145" s="192">
        <v>70</v>
      </c>
      <c r="H145" s="182"/>
      <c r="I145" s="187">
        <f>SUM(B145:D145)/E145</f>
        <v>3.04</v>
      </c>
      <c r="J145" s="188">
        <f>(G145/SUM(B145:D145))*100</f>
        <v>46.05263157894737</v>
      </c>
      <c r="K145" s="188">
        <f>(E145/SUM(B145:D145))*100</f>
        <v>32.894736842105267</v>
      </c>
      <c r="L145" s="189">
        <f>(F145/SUM(B145:D145))*100</f>
        <v>21.052631578947366</v>
      </c>
    </row>
    <row r="146" spans="1:12" s="153" customFormat="1" ht="20.25" customHeight="1">
      <c r="A146" s="191" t="s">
        <v>864</v>
      </c>
      <c r="B146" s="192">
        <v>135</v>
      </c>
      <c r="C146" s="192">
        <v>47</v>
      </c>
      <c r="D146" s="192">
        <v>127</v>
      </c>
      <c r="E146" s="192">
        <v>73</v>
      </c>
      <c r="F146" s="192">
        <v>126</v>
      </c>
      <c r="G146" s="192">
        <v>110</v>
      </c>
      <c r="H146" s="182"/>
      <c r="I146" s="187">
        <f>SUM(B146:D146)/E146</f>
        <v>4.2328767123287667</v>
      </c>
      <c r="J146" s="188">
        <f>(G146/SUM(B146:D146))*100</f>
        <v>35.59870550161812</v>
      </c>
      <c r="K146" s="188">
        <f>(E146/SUM(B146:D146))*100</f>
        <v>23.624595469255663</v>
      </c>
      <c r="L146" s="189">
        <f>(F146/SUM(B146:D146))*100</f>
        <v>40.776699029126213</v>
      </c>
    </row>
    <row r="147" spans="1:12" s="153" customFormat="1" ht="20.25" customHeight="1">
      <c r="A147" s="197"/>
      <c r="B147" s="198"/>
      <c r="C147" s="198"/>
      <c r="D147" s="198"/>
      <c r="E147" s="198"/>
      <c r="F147" s="198"/>
      <c r="G147" s="199"/>
      <c r="H147" s="200"/>
      <c r="I147" s="201"/>
      <c r="J147" s="200"/>
      <c r="K147" s="200"/>
      <c r="L147" s="202"/>
    </row>
    <row r="148" spans="1:12" s="153" customFormat="1" ht="20.25" customHeight="1">
      <c r="A148" s="39" t="s">
        <v>1072</v>
      </c>
      <c r="B148" s="156"/>
      <c r="C148" s="156"/>
      <c r="D148" s="156"/>
      <c r="E148" s="156"/>
      <c r="F148" s="156"/>
      <c r="G148" s="156"/>
    </row>
  </sheetData>
  <sheetProtection selectLockedCells="1" selectUnlockedCells="1"/>
  <mergeCells count="3">
    <mergeCell ref="A3:L3"/>
    <mergeCell ref="B5:G5"/>
    <mergeCell ref="I5:L5"/>
  </mergeCells>
  <phoneticPr fontId="0" type="noConversion"/>
  <printOptions horizontalCentered="1" verticalCentered="1"/>
  <pageMargins left="0" right="0" top="0" bottom="0" header="0.51180555555555551" footer="0.51180555555555551"/>
  <pageSetup firstPageNumber="0"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M57"/>
  <sheetViews>
    <sheetView zoomScale="90" zoomScaleNormal="90" workbookViewId="0">
      <selection activeCell="A3" sqref="A3:L3"/>
    </sheetView>
  </sheetViews>
  <sheetFormatPr baseColWidth="10" defaultColWidth="11.44140625" defaultRowHeight="20.25" customHeight="1"/>
  <cols>
    <col min="1" max="1" width="81.88671875" style="152" customWidth="1"/>
    <col min="2" max="2" width="18.33203125" style="152" customWidth="1"/>
    <col min="3" max="3" width="18.109375" style="152" customWidth="1"/>
    <col min="4" max="4" width="18.5546875" style="152" customWidth="1"/>
    <col min="5" max="6" width="18.88671875" style="152" customWidth="1"/>
    <col min="7" max="7" width="18.44140625" style="152" customWidth="1"/>
    <col min="8" max="8" width="5.6640625" style="152" customWidth="1"/>
    <col min="9" max="12" width="18.6640625" style="152" customWidth="1"/>
    <col min="13" max="16384" width="11.44140625" style="152"/>
  </cols>
  <sheetData>
    <row r="1" spans="1:13" ht="20.25" customHeight="1">
      <c r="A1" s="153" t="s">
        <v>865</v>
      </c>
      <c r="B1" s="154"/>
      <c r="C1" s="154"/>
      <c r="D1" s="154"/>
      <c r="E1" s="154"/>
      <c r="F1" s="154"/>
      <c r="G1" s="154"/>
      <c r="H1" s="203"/>
      <c r="I1" s="154"/>
      <c r="J1" s="154"/>
      <c r="K1" s="154"/>
      <c r="L1" s="154"/>
    </row>
    <row r="2" spans="1:13" ht="20.25" customHeight="1"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3" ht="20.25" customHeight="1">
      <c r="A3" s="457" t="s">
        <v>1055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  <c r="L3" s="457"/>
    </row>
    <row r="4" spans="1:13" ht="20.25" customHeight="1">
      <c r="A4" s="158"/>
      <c r="B4" s="204"/>
      <c r="C4" s="204"/>
      <c r="D4" s="204"/>
      <c r="E4" s="204"/>
      <c r="F4" s="204"/>
      <c r="G4" s="204"/>
      <c r="H4" s="160"/>
      <c r="I4" s="160"/>
      <c r="J4" s="160"/>
      <c r="K4" s="160"/>
      <c r="L4" s="160"/>
    </row>
    <row r="5" spans="1:13" ht="20.25" customHeight="1">
      <c r="A5" s="161" t="s">
        <v>172</v>
      </c>
      <c r="B5" s="460" t="s">
        <v>535</v>
      </c>
      <c r="C5" s="460"/>
      <c r="D5" s="460"/>
      <c r="E5" s="460"/>
      <c r="F5" s="460"/>
      <c r="G5" s="460"/>
      <c r="H5" s="162"/>
      <c r="I5" s="459" t="s">
        <v>536</v>
      </c>
      <c r="J5" s="459"/>
      <c r="K5" s="459"/>
      <c r="L5" s="459"/>
    </row>
    <row r="6" spans="1:13" ht="20.25" customHeight="1">
      <c r="A6" s="163" t="s">
        <v>537</v>
      </c>
      <c r="B6" s="164" t="s">
        <v>538</v>
      </c>
      <c r="C6" s="165" t="s">
        <v>539</v>
      </c>
      <c r="D6" s="165" t="s">
        <v>539</v>
      </c>
      <c r="E6" s="165" t="s">
        <v>539</v>
      </c>
      <c r="F6" s="165" t="s">
        <v>539</v>
      </c>
      <c r="G6" s="205" t="s">
        <v>540</v>
      </c>
      <c r="H6" s="166"/>
      <c r="I6" s="163" t="s">
        <v>541</v>
      </c>
      <c r="J6" s="165" t="s">
        <v>542</v>
      </c>
      <c r="K6" s="165" t="s">
        <v>542</v>
      </c>
      <c r="L6" s="163" t="s">
        <v>542</v>
      </c>
    </row>
    <row r="7" spans="1:13" ht="20.25" customHeight="1">
      <c r="A7" s="167"/>
      <c r="B7" s="206">
        <v>42370</v>
      </c>
      <c r="C7" s="173" t="s">
        <v>543</v>
      </c>
      <c r="D7" s="173" t="s">
        <v>544</v>
      </c>
      <c r="E7" s="173" t="s">
        <v>866</v>
      </c>
      <c r="F7" s="173" t="s">
        <v>867</v>
      </c>
      <c r="G7" s="207">
        <v>42735</v>
      </c>
      <c r="H7" s="171"/>
      <c r="I7" s="172" t="s">
        <v>547</v>
      </c>
      <c r="J7" s="173" t="s">
        <v>548</v>
      </c>
      <c r="K7" s="173" t="s">
        <v>549</v>
      </c>
      <c r="L7" s="172" t="s">
        <v>550</v>
      </c>
    </row>
    <row r="8" spans="1:13" ht="20.25" customHeight="1">
      <c r="A8" s="174"/>
      <c r="B8" s="208"/>
      <c r="C8" s="209"/>
      <c r="D8" s="209"/>
      <c r="E8" s="209"/>
      <c r="F8" s="209"/>
      <c r="G8" s="210"/>
      <c r="H8" s="166"/>
      <c r="I8" s="179"/>
      <c r="J8" s="166"/>
      <c r="K8" s="166"/>
      <c r="L8" s="179"/>
    </row>
    <row r="9" spans="1:13" ht="20.25" customHeight="1">
      <c r="A9" s="180" t="s">
        <v>868</v>
      </c>
      <c r="B9" s="181">
        <f t="shared" ref="B9:G9" si="0">SUM(B11,B16,B20,B23,B26,B30,B33,B36,B39,B42,B45,B48,B51,B54)</f>
        <v>424203</v>
      </c>
      <c r="C9" s="181">
        <f t="shared" si="0"/>
        <v>164522</v>
      </c>
      <c r="D9" s="181">
        <f t="shared" si="0"/>
        <v>95827</v>
      </c>
      <c r="E9" s="181">
        <f t="shared" si="0"/>
        <v>73979</v>
      </c>
      <c r="F9" s="181">
        <f t="shared" si="0"/>
        <v>157404</v>
      </c>
      <c r="G9" s="181">
        <f t="shared" si="0"/>
        <v>453169</v>
      </c>
      <c r="H9" s="211"/>
      <c r="I9" s="183">
        <f>SUM(B9:D9)/E9</f>
        <v>9.253328647318833</v>
      </c>
      <c r="J9" s="184">
        <f>(G9/SUM(B9:D9))*100</f>
        <v>66.199353737919111</v>
      </c>
      <c r="K9" s="184">
        <f>(E9/SUM(B9:D9))*100</f>
        <v>10.806921899285957</v>
      </c>
      <c r="L9" s="185">
        <f>(F9/SUM(B9:D9))*100</f>
        <v>22.993724362794936</v>
      </c>
      <c r="M9" s="203"/>
    </row>
    <row r="10" spans="1:13" s="153" customFormat="1" ht="20.25" customHeight="1">
      <c r="A10" s="212"/>
      <c r="B10" s="192"/>
      <c r="C10" s="192"/>
      <c r="D10" s="192"/>
      <c r="E10" s="192"/>
      <c r="F10" s="192"/>
      <c r="G10" s="193"/>
      <c r="H10" s="211"/>
      <c r="I10" s="187"/>
      <c r="J10" s="188"/>
      <c r="K10" s="188"/>
      <c r="L10" s="189"/>
      <c r="M10" s="203"/>
    </row>
    <row r="11" spans="1:13" s="153" customFormat="1" ht="20.25" customHeight="1">
      <c r="A11" s="190" t="s">
        <v>551</v>
      </c>
      <c r="B11" s="181">
        <f t="shared" ref="B11:G11" si="1">SUM(B12:B14)</f>
        <v>160219</v>
      </c>
      <c r="C11" s="181">
        <f t="shared" si="1"/>
        <v>52468</v>
      </c>
      <c r="D11" s="181">
        <f t="shared" si="1"/>
        <v>21789</v>
      </c>
      <c r="E11" s="181">
        <f t="shared" si="1"/>
        <v>19263</v>
      </c>
      <c r="F11" s="181">
        <f t="shared" si="1"/>
        <v>37483</v>
      </c>
      <c r="G11" s="181">
        <f t="shared" si="1"/>
        <v>177730</v>
      </c>
      <c r="H11" s="211"/>
      <c r="I11" s="183">
        <f>SUM(B11:D11)/E11</f>
        <v>12.172351139490214</v>
      </c>
      <c r="J11" s="184">
        <f>(G11/SUM(B11:D11))*100</f>
        <v>75.798802436070218</v>
      </c>
      <c r="K11" s="184">
        <f>(E11/SUM(B11:D11))*100</f>
        <v>8.2153397362629867</v>
      </c>
      <c r="L11" s="185">
        <f>(F11/SUM(B11:D11))*100</f>
        <v>15.985857827666797</v>
      </c>
      <c r="M11" s="203"/>
    </row>
    <row r="12" spans="1:13" ht="20.25" customHeight="1">
      <c r="A12" s="191" t="s">
        <v>869</v>
      </c>
      <c r="B12" s="192">
        <v>60909</v>
      </c>
      <c r="C12" s="192">
        <v>12311</v>
      </c>
      <c r="D12" s="192">
        <v>12144</v>
      </c>
      <c r="E12" s="192">
        <v>6350</v>
      </c>
      <c r="F12" s="192">
        <v>17189</v>
      </c>
      <c r="G12" s="192">
        <v>61825</v>
      </c>
      <c r="H12" s="211"/>
      <c r="I12" s="187">
        <f>SUM(B12:D12)/E12</f>
        <v>13.443149606299212</v>
      </c>
      <c r="J12" s="188">
        <f>(G12/SUM(B12:D12))*100</f>
        <v>72.425144088843069</v>
      </c>
      <c r="K12" s="188">
        <f>(E12/SUM(B12:D12))*100</f>
        <v>7.4387329553441726</v>
      </c>
      <c r="L12" s="189">
        <f>(F12/SUM(B12:D12))*100</f>
        <v>20.136122955812755</v>
      </c>
      <c r="M12" s="203"/>
    </row>
    <row r="13" spans="1:13" ht="20.25" customHeight="1">
      <c r="A13" s="191" t="s">
        <v>870</v>
      </c>
      <c r="B13" s="192">
        <v>53865</v>
      </c>
      <c r="C13" s="192">
        <v>13319</v>
      </c>
      <c r="D13" s="192">
        <v>8157</v>
      </c>
      <c r="E13" s="192">
        <v>4744</v>
      </c>
      <c r="F13" s="192">
        <v>10576</v>
      </c>
      <c r="G13" s="192">
        <v>60021</v>
      </c>
      <c r="H13" s="211"/>
      <c r="I13" s="187">
        <f>SUM(B13:D13)/E13</f>
        <v>15.881323777403036</v>
      </c>
      <c r="J13" s="188">
        <f>(G13/SUM(B13:D13))*100</f>
        <v>79.665786225295648</v>
      </c>
      <c r="K13" s="188">
        <f>(E13/SUM(B13:D13))*100</f>
        <v>6.2967043177021811</v>
      </c>
      <c r="L13" s="189">
        <f>(F13/SUM(B13:D13))*100</f>
        <v>14.037509457002164</v>
      </c>
      <c r="M13" s="203"/>
    </row>
    <row r="14" spans="1:13" ht="20.25" customHeight="1">
      <c r="A14" s="191" t="s">
        <v>943</v>
      </c>
      <c r="B14" s="192">
        <v>45445</v>
      </c>
      <c r="C14" s="192">
        <v>26838</v>
      </c>
      <c r="D14" s="192">
        <v>1488</v>
      </c>
      <c r="E14" s="192">
        <v>8169</v>
      </c>
      <c r="F14" s="192">
        <v>9718</v>
      </c>
      <c r="G14" s="192">
        <v>55884</v>
      </c>
      <c r="H14" s="211"/>
      <c r="I14" s="187">
        <f>SUM(B14:D14)/E14</f>
        <v>9.0306035010405186</v>
      </c>
      <c r="J14" s="188">
        <f>(G14/SUM(B14:D14))*100</f>
        <v>75.75334481029131</v>
      </c>
      <c r="K14" s="188">
        <f>(E14/SUM(B14:D14))*100</f>
        <v>11.073457049518105</v>
      </c>
      <c r="L14" s="189">
        <f>(F14/SUM(B14:D14))*100</f>
        <v>13.173198140190589</v>
      </c>
      <c r="M14" s="203"/>
    </row>
    <row r="15" spans="1:13" s="153" customFormat="1" ht="20.25" customHeight="1">
      <c r="A15" s="194"/>
      <c r="B15" s="192"/>
      <c r="C15" s="192"/>
      <c r="D15" s="192"/>
      <c r="E15" s="192"/>
      <c r="F15" s="192"/>
      <c r="G15" s="192"/>
      <c r="H15" s="211"/>
      <c r="I15" s="187"/>
      <c r="J15" s="188"/>
      <c r="K15" s="188"/>
      <c r="L15" s="189"/>
      <c r="M15" s="203"/>
    </row>
    <row r="16" spans="1:13" s="153" customFormat="1" ht="20.25" customHeight="1">
      <c r="A16" s="190" t="s">
        <v>268</v>
      </c>
      <c r="B16" s="181">
        <f t="shared" ref="B16:G16" si="2">B17+B18</f>
        <v>129505</v>
      </c>
      <c r="C16" s="181">
        <f t="shared" si="2"/>
        <v>39296</v>
      </c>
      <c r="D16" s="181">
        <f t="shared" si="2"/>
        <v>42561</v>
      </c>
      <c r="E16" s="181">
        <f t="shared" si="2"/>
        <v>20855</v>
      </c>
      <c r="F16" s="181">
        <f t="shared" si="2"/>
        <v>55438</v>
      </c>
      <c r="G16" s="181">
        <f t="shared" si="2"/>
        <v>135069</v>
      </c>
      <c r="H16" s="211"/>
      <c r="I16" s="183">
        <f>SUM(B16:D16)/E16</f>
        <v>10.13483577079837</v>
      </c>
      <c r="J16" s="184">
        <f>(G16/SUM(B16:D16))*100</f>
        <v>63.904107644704347</v>
      </c>
      <c r="K16" s="184">
        <f>(E16/SUM(B16:D16))*100</f>
        <v>9.8669581097832157</v>
      </c>
      <c r="L16" s="185">
        <f>(F16/SUM(B16:D16))*100</f>
        <v>26.228934245512438</v>
      </c>
      <c r="M16" s="203"/>
    </row>
    <row r="17" spans="1:13" s="153" customFormat="1" ht="20.25" customHeight="1">
      <c r="A17" s="191" t="s">
        <v>871</v>
      </c>
      <c r="B17" s="192">
        <v>108282</v>
      </c>
      <c r="C17" s="192">
        <v>39291</v>
      </c>
      <c r="D17" s="192">
        <v>35003</v>
      </c>
      <c r="E17" s="192">
        <v>17577</v>
      </c>
      <c r="F17" s="192">
        <v>50667</v>
      </c>
      <c r="G17" s="192">
        <v>114332</v>
      </c>
      <c r="H17" s="211"/>
      <c r="I17" s="187">
        <f>SUM(B17:D17)/E17</f>
        <v>10.387210559253569</v>
      </c>
      <c r="J17" s="188">
        <f>(G17/SUM(B17:D17))*100</f>
        <v>62.6215931995443</v>
      </c>
      <c r="K17" s="188">
        <f>(E17/SUM(B17:D17))*100</f>
        <v>9.6272237314871614</v>
      </c>
      <c r="L17" s="189">
        <f>(F17/SUM(B17:D17))*100</f>
        <v>27.751183068968537</v>
      </c>
      <c r="M17" s="203"/>
    </row>
    <row r="18" spans="1:13" s="153" customFormat="1" ht="20.25" customHeight="1">
      <c r="A18" s="212" t="s">
        <v>944</v>
      </c>
      <c r="B18" s="192">
        <v>21223</v>
      </c>
      <c r="C18" s="192">
        <v>5</v>
      </c>
      <c r="D18" s="192">
        <v>7558</v>
      </c>
      <c r="E18" s="192">
        <v>3278</v>
      </c>
      <c r="F18" s="192">
        <v>4771</v>
      </c>
      <c r="G18" s="192">
        <v>20737</v>
      </c>
      <c r="H18" s="182"/>
      <c r="I18" s="187">
        <f>SUM(B18:D18)/E18</f>
        <v>8.7815741305674191</v>
      </c>
      <c r="J18" s="188">
        <f>(G18/SUM(B18:D18))*100</f>
        <v>72.038490933092476</v>
      </c>
      <c r="K18" s="188">
        <f>(E18/SUM(B18:D18))*100</f>
        <v>11.38748002501216</v>
      </c>
      <c r="L18" s="189">
        <f>(F18/SUM(B18:D18))*100</f>
        <v>16.574029041895365</v>
      </c>
      <c r="M18" s="203"/>
    </row>
    <row r="19" spans="1:13" ht="20.25" customHeight="1">
      <c r="A19" s="195"/>
      <c r="B19" s="192"/>
      <c r="C19" s="192"/>
      <c r="D19" s="192"/>
      <c r="E19" s="192"/>
      <c r="F19" s="192"/>
      <c r="G19" s="192"/>
      <c r="H19" s="211"/>
      <c r="I19" s="187"/>
      <c r="J19" s="188"/>
      <c r="K19" s="188"/>
      <c r="L19" s="189"/>
      <c r="M19" s="203"/>
    </row>
    <row r="20" spans="1:13" s="153" customFormat="1" ht="20.25" customHeight="1">
      <c r="A20" s="190" t="s">
        <v>280</v>
      </c>
      <c r="B20" s="181">
        <f t="shared" ref="B20:G20" si="3">B21</f>
        <v>16422</v>
      </c>
      <c r="C20" s="181">
        <f t="shared" si="3"/>
        <v>21427</v>
      </c>
      <c r="D20" s="181">
        <f t="shared" si="3"/>
        <v>7164</v>
      </c>
      <c r="E20" s="181">
        <f t="shared" si="3"/>
        <v>5648</v>
      </c>
      <c r="F20" s="181">
        <f t="shared" si="3"/>
        <v>14219</v>
      </c>
      <c r="G20" s="181">
        <f t="shared" si="3"/>
        <v>25146</v>
      </c>
      <c r="H20" s="211"/>
      <c r="I20" s="183">
        <f>SUM(B20:D20)/E20</f>
        <v>7.9697237960339944</v>
      </c>
      <c r="J20" s="184">
        <f>(G20/SUM(B20:D20))*100</f>
        <v>55.863861551107462</v>
      </c>
      <c r="K20" s="184">
        <f>(E20/SUM(B20:D20))*100</f>
        <v>12.547486281740831</v>
      </c>
      <c r="L20" s="185">
        <f>(F20/SUM(B20:D20))*100</f>
        <v>31.588652167151711</v>
      </c>
      <c r="M20" s="203"/>
    </row>
    <row r="21" spans="1:13" s="153" customFormat="1" ht="20.25" customHeight="1">
      <c r="A21" s="191" t="s">
        <v>945</v>
      </c>
      <c r="B21" s="192">
        <v>16422</v>
      </c>
      <c r="C21" s="192">
        <v>21427</v>
      </c>
      <c r="D21" s="192">
        <v>7164</v>
      </c>
      <c r="E21" s="192">
        <v>5648</v>
      </c>
      <c r="F21" s="192">
        <v>14219</v>
      </c>
      <c r="G21" s="192">
        <v>25146</v>
      </c>
      <c r="H21" s="211"/>
      <c r="I21" s="187">
        <f>SUM(B21:D21)/E21</f>
        <v>7.9697237960339944</v>
      </c>
      <c r="J21" s="188">
        <f>(G21/SUM(B21:D21))*100</f>
        <v>55.863861551107462</v>
      </c>
      <c r="K21" s="188">
        <f>(E21/SUM(B21:D21))*100</f>
        <v>12.547486281740831</v>
      </c>
      <c r="L21" s="189">
        <f>(F21/SUM(B21:D21))*100</f>
        <v>31.588652167151711</v>
      </c>
      <c r="M21" s="203"/>
    </row>
    <row r="22" spans="1:13" s="153" customFormat="1" ht="20.25" customHeight="1">
      <c r="A22" s="194"/>
      <c r="B22" s="192"/>
      <c r="C22" s="192"/>
      <c r="D22" s="192"/>
      <c r="E22" s="192"/>
      <c r="F22" s="192"/>
      <c r="G22" s="192"/>
      <c r="H22" s="211"/>
      <c r="I22" s="187"/>
      <c r="J22" s="188"/>
      <c r="K22" s="188"/>
      <c r="L22" s="189"/>
      <c r="M22" s="203"/>
    </row>
    <row r="23" spans="1:13" s="153" customFormat="1" ht="20.25" customHeight="1">
      <c r="A23" s="190" t="s">
        <v>287</v>
      </c>
      <c r="B23" s="181">
        <f t="shared" ref="B23:G23" si="4">B24</f>
        <v>4165</v>
      </c>
      <c r="C23" s="181">
        <f t="shared" si="4"/>
        <v>2407</v>
      </c>
      <c r="D23" s="181">
        <f t="shared" si="4"/>
        <v>1543</v>
      </c>
      <c r="E23" s="181">
        <f t="shared" si="4"/>
        <v>1589</v>
      </c>
      <c r="F23" s="181">
        <f t="shared" si="4"/>
        <v>2116</v>
      </c>
      <c r="G23" s="181">
        <f t="shared" si="4"/>
        <v>4410</v>
      </c>
      <c r="H23" s="211"/>
      <c r="I23" s="183">
        <f>SUM(B23:D23)/E23</f>
        <v>5.1069855254877279</v>
      </c>
      <c r="J23" s="184">
        <f>(G23/SUM(B23:D23))*100</f>
        <v>54.343807763401109</v>
      </c>
      <c r="K23" s="184">
        <f>(E23/SUM(B23:D23))*100</f>
        <v>19.581022797288973</v>
      </c>
      <c r="L23" s="185">
        <f>(F23/SUM(B23:D23))*100</f>
        <v>26.075169439309921</v>
      </c>
      <c r="M23" s="203"/>
    </row>
    <row r="24" spans="1:13" s="153" customFormat="1" ht="20.25" customHeight="1">
      <c r="A24" s="191" t="s">
        <v>946</v>
      </c>
      <c r="B24" s="192">
        <v>4165</v>
      </c>
      <c r="C24" s="192">
        <v>2407</v>
      </c>
      <c r="D24" s="192">
        <v>1543</v>
      </c>
      <c r="E24" s="192">
        <v>1589</v>
      </c>
      <c r="F24" s="192">
        <v>2116</v>
      </c>
      <c r="G24" s="192">
        <v>4410</v>
      </c>
      <c r="H24" s="211"/>
      <c r="I24" s="187">
        <f>SUM(B24:D24)/E24</f>
        <v>5.1069855254877279</v>
      </c>
      <c r="J24" s="188">
        <f>(G24/SUM(B24:D24))*100</f>
        <v>54.343807763401109</v>
      </c>
      <c r="K24" s="188">
        <f>(E24/SUM(B24:D24))*100</f>
        <v>19.581022797288973</v>
      </c>
      <c r="L24" s="189">
        <f>(F24/SUM(B24:D24))*100</f>
        <v>26.075169439309921</v>
      </c>
      <c r="M24" s="203"/>
    </row>
    <row r="25" spans="1:13" s="153" customFormat="1" ht="20.25" customHeight="1">
      <c r="A25" s="194"/>
      <c r="B25" s="192"/>
      <c r="C25" s="192"/>
      <c r="D25" s="192"/>
      <c r="E25" s="192"/>
      <c r="F25" s="192"/>
      <c r="G25" s="192"/>
      <c r="H25" s="211"/>
      <c r="I25" s="187"/>
      <c r="J25" s="188"/>
      <c r="K25" s="188"/>
      <c r="L25" s="189"/>
      <c r="M25" s="203"/>
    </row>
    <row r="26" spans="1:13" s="153" customFormat="1" ht="20.25" customHeight="1">
      <c r="A26" s="190" t="s">
        <v>294</v>
      </c>
      <c r="B26" s="181">
        <f t="shared" ref="B26:G26" si="5">B27+B28</f>
        <v>15867</v>
      </c>
      <c r="C26" s="181">
        <f t="shared" si="5"/>
        <v>8492</v>
      </c>
      <c r="D26" s="181">
        <f t="shared" si="5"/>
        <v>2677</v>
      </c>
      <c r="E26" s="181">
        <f t="shared" si="5"/>
        <v>3321</v>
      </c>
      <c r="F26" s="181">
        <f t="shared" si="5"/>
        <v>4790</v>
      </c>
      <c r="G26" s="181">
        <f t="shared" si="5"/>
        <v>18925</v>
      </c>
      <c r="H26" s="211"/>
      <c r="I26" s="183">
        <f>SUM(B26:D26)/E26</f>
        <v>8.1409214092140925</v>
      </c>
      <c r="J26" s="184">
        <f>(G26/SUM(B26:D26))*100</f>
        <v>69.999260245598464</v>
      </c>
      <c r="K26" s="184">
        <f>(E26/SUM(B26:D26))*100</f>
        <v>12.283621837549934</v>
      </c>
      <c r="L26" s="185">
        <f>(F26/SUM(B26:D26))*100</f>
        <v>17.717117916851606</v>
      </c>
      <c r="M26" s="203"/>
    </row>
    <row r="27" spans="1:13" s="153" customFormat="1" ht="20.25" customHeight="1">
      <c r="A27" s="191" t="s">
        <v>947</v>
      </c>
      <c r="B27" s="192">
        <v>9971</v>
      </c>
      <c r="C27" s="192">
        <v>2035</v>
      </c>
      <c r="D27" s="192">
        <v>348</v>
      </c>
      <c r="E27" s="192">
        <v>1562</v>
      </c>
      <c r="F27" s="192">
        <v>1126</v>
      </c>
      <c r="G27" s="192">
        <v>9666</v>
      </c>
      <c r="H27" s="211"/>
      <c r="I27" s="187">
        <f>SUM(B27:D27)/E27</f>
        <v>7.9090909090909092</v>
      </c>
      <c r="J27" s="188">
        <f>(G27/SUM(B27:D27))*100</f>
        <v>78.241864983001449</v>
      </c>
      <c r="K27" s="188">
        <f>(E27/SUM(B27:D27))*100</f>
        <v>12.643678160919542</v>
      </c>
      <c r="L27" s="189">
        <f>(F27/SUM(B27:D27))*100</f>
        <v>9.114456856079002</v>
      </c>
      <c r="M27" s="203"/>
    </row>
    <row r="28" spans="1:13" s="153" customFormat="1" ht="20.25" customHeight="1">
      <c r="A28" s="191" t="s">
        <v>948</v>
      </c>
      <c r="B28" s="192">
        <v>5896</v>
      </c>
      <c r="C28" s="192">
        <v>6457</v>
      </c>
      <c r="D28" s="192">
        <v>2329</v>
      </c>
      <c r="E28" s="192">
        <v>1759</v>
      </c>
      <c r="F28" s="192">
        <v>3664</v>
      </c>
      <c r="G28" s="192">
        <v>9259</v>
      </c>
      <c r="H28" s="211"/>
      <c r="I28" s="187">
        <f>SUM(B28:D28)/E28</f>
        <v>8.3467879476975551</v>
      </c>
      <c r="J28" s="188">
        <f>(G28/SUM(B28:D28))*100</f>
        <v>63.063615311265494</v>
      </c>
      <c r="K28" s="188">
        <f>(E28/SUM(B28:D28))*100</f>
        <v>11.980656586296146</v>
      </c>
      <c r="L28" s="189">
        <f>(F28/SUM(B28:D28))*100</f>
        <v>24.955728102438361</v>
      </c>
      <c r="M28" s="203"/>
    </row>
    <row r="29" spans="1:13" ht="20.25" customHeight="1">
      <c r="A29" s="194"/>
      <c r="B29" s="192"/>
      <c r="C29" s="192"/>
      <c r="D29" s="192"/>
      <c r="E29" s="192"/>
      <c r="F29" s="192"/>
      <c r="G29" s="192"/>
      <c r="H29" s="211"/>
      <c r="I29" s="187"/>
      <c r="J29" s="188"/>
      <c r="K29" s="188"/>
      <c r="L29" s="189"/>
      <c r="M29" s="203"/>
    </row>
    <row r="30" spans="1:13" s="153" customFormat="1" ht="20.25" customHeight="1">
      <c r="A30" s="190" t="s">
        <v>303</v>
      </c>
      <c r="B30" s="181">
        <f t="shared" ref="B30:G30" si="6">B31</f>
        <v>20828</v>
      </c>
      <c r="C30" s="181">
        <f t="shared" si="6"/>
        <v>11710</v>
      </c>
      <c r="D30" s="181">
        <f t="shared" si="6"/>
        <v>7561</v>
      </c>
      <c r="E30" s="181">
        <f t="shared" si="6"/>
        <v>3883</v>
      </c>
      <c r="F30" s="181">
        <f t="shared" si="6"/>
        <v>18517</v>
      </c>
      <c r="G30" s="181">
        <f t="shared" si="6"/>
        <v>17699</v>
      </c>
      <c r="H30" s="211"/>
      <c r="I30" s="183">
        <f>SUM(B30:D30)/E30</f>
        <v>10.326809168168941</v>
      </c>
      <c r="J30" s="184">
        <f>(G30/SUM(B30:D30))*100</f>
        <v>44.138257811915508</v>
      </c>
      <c r="K30" s="184">
        <f>(E30/SUM(B30:D30))*100</f>
        <v>9.6835332551933959</v>
      </c>
      <c r="L30" s="185">
        <f>(F30/SUM(B30:D30))*100</f>
        <v>46.178208932891096</v>
      </c>
      <c r="M30" s="203"/>
    </row>
    <row r="31" spans="1:13" s="153" customFormat="1" ht="20.25" customHeight="1">
      <c r="A31" s="191" t="s">
        <v>949</v>
      </c>
      <c r="B31" s="192">
        <v>20828</v>
      </c>
      <c r="C31" s="192">
        <v>11710</v>
      </c>
      <c r="D31" s="192">
        <v>7561</v>
      </c>
      <c r="E31" s="192">
        <v>3883</v>
      </c>
      <c r="F31" s="192">
        <v>18517</v>
      </c>
      <c r="G31" s="192">
        <v>17699</v>
      </c>
      <c r="H31" s="211"/>
      <c r="I31" s="187">
        <f>SUM(B31:D31)/E31</f>
        <v>10.326809168168941</v>
      </c>
      <c r="J31" s="188">
        <f>(G31/SUM(B31:D31))*100</f>
        <v>44.138257811915508</v>
      </c>
      <c r="K31" s="188">
        <f>(E31/SUM(B31:D31))*100</f>
        <v>9.6835332551933959</v>
      </c>
      <c r="L31" s="189">
        <f>(F31/SUM(B31:D31))*100</f>
        <v>46.178208932891096</v>
      </c>
      <c r="M31" s="203"/>
    </row>
    <row r="32" spans="1:13" s="153" customFormat="1" ht="20.25" customHeight="1">
      <c r="A32" s="194"/>
      <c r="B32" s="192"/>
      <c r="C32" s="192"/>
      <c r="D32" s="192"/>
      <c r="E32" s="192"/>
      <c r="F32" s="192"/>
      <c r="G32" s="192"/>
      <c r="H32" s="211"/>
      <c r="I32" s="187"/>
      <c r="J32" s="188"/>
      <c r="K32" s="188"/>
      <c r="L32" s="189"/>
      <c r="M32" s="203"/>
    </row>
    <row r="33" spans="1:13" ht="20.25" customHeight="1">
      <c r="A33" s="190" t="s">
        <v>812</v>
      </c>
      <c r="B33" s="181">
        <f t="shared" ref="B33:G33" si="7">B34</f>
        <v>15357</v>
      </c>
      <c r="C33" s="181">
        <f t="shared" si="7"/>
        <v>8188</v>
      </c>
      <c r="D33" s="181">
        <f t="shared" si="7"/>
        <v>3593</v>
      </c>
      <c r="E33" s="181">
        <f t="shared" si="7"/>
        <v>4857</v>
      </c>
      <c r="F33" s="181">
        <f t="shared" si="7"/>
        <v>3132</v>
      </c>
      <c r="G33" s="181">
        <f t="shared" si="7"/>
        <v>19149</v>
      </c>
      <c r="H33" s="211"/>
      <c r="I33" s="183">
        <f>SUM(B33:D33)/E33</f>
        <v>5.5873996294008643</v>
      </c>
      <c r="J33" s="184">
        <f>(G33/SUM(B33:D33))*100</f>
        <v>70.561574176431577</v>
      </c>
      <c r="K33" s="184">
        <f>(E33/SUM(B33:D33))*100</f>
        <v>17.89741322131329</v>
      </c>
      <c r="L33" s="185">
        <f>(F33/SUM(B33:D33))*100</f>
        <v>11.54101260225514</v>
      </c>
      <c r="M33" s="203"/>
    </row>
    <row r="34" spans="1:13" ht="20.25" customHeight="1">
      <c r="A34" s="194" t="s">
        <v>950</v>
      </c>
      <c r="B34" s="192">
        <v>15357</v>
      </c>
      <c r="C34" s="192">
        <v>8188</v>
      </c>
      <c r="D34" s="192">
        <v>3593</v>
      </c>
      <c r="E34" s="192">
        <v>4857</v>
      </c>
      <c r="F34" s="192">
        <v>3132</v>
      </c>
      <c r="G34" s="192">
        <v>19149</v>
      </c>
      <c r="H34" s="211"/>
      <c r="I34" s="187">
        <f>SUM(B34:D34)/E34</f>
        <v>5.5873996294008643</v>
      </c>
      <c r="J34" s="188">
        <f>(G34/SUM(B34:D34))*100</f>
        <v>70.561574176431577</v>
      </c>
      <c r="K34" s="188">
        <f>(E34/SUM(B34:D34))*100</f>
        <v>17.89741322131329</v>
      </c>
      <c r="L34" s="189">
        <f>(F34/SUM(B34:D34))*100</f>
        <v>11.54101260225514</v>
      </c>
      <c r="M34" s="203"/>
    </row>
    <row r="35" spans="1:13" ht="20.25" customHeight="1">
      <c r="A35" s="194"/>
      <c r="B35" s="192"/>
      <c r="C35" s="192"/>
      <c r="D35" s="192"/>
      <c r="E35" s="192"/>
      <c r="F35" s="192"/>
      <c r="G35" s="192"/>
      <c r="H35" s="211"/>
      <c r="I35" s="187"/>
      <c r="J35" s="188"/>
      <c r="K35" s="188"/>
      <c r="L35" s="189"/>
      <c r="M35" s="203"/>
    </row>
    <row r="36" spans="1:13" ht="20.25" customHeight="1">
      <c r="A36" s="190" t="s">
        <v>820</v>
      </c>
      <c r="B36" s="181">
        <f t="shared" ref="B36:G36" si="8">B37</f>
        <v>4707</v>
      </c>
      <c r="C36" s="181">
        <f t="shared" si="8"/>
        <v>2192</v>
      </c>
      <c r="D36" s="181">
        <f t="shared" si="8"/>
        <v>1117</v>
      </c>
      <c r="E36" s="181">
        <f t="shared" si="8"/>
        <v>1398</v>
      </c>
      <c r="F36" s="181">
        <f t="shared" si="8"/>
        <v>1739</v>
      </c>
      <c r="G36" s="181">
        <f t="shared" si="8"/>
        <v>4879</v>
      </c>
      <c r="H36" s="211"/>
      <c r="I36" s="183">
        <f>SUM(B36:D36)/E36</f>
        <v>5.733905579399142</v>
      </c>
      <c r="J36" s="184">
        <f>(G36/SUM(B36:D36))*100</f>
        <v>60.865768463073856</v>
      </c>
      <c r="K36" s="184">
        <f>(E36/SUM(B36:D36))*100</f>
        <v>17.440119760479043</v>
      </c>
      <c r="L36" s="185">
        <f>(F36/SUM(B36:D36))*100</f>
        <v>21.694111776447105</v>
      </c>
      <c r="M36" s="203"/>
    </row>
    <row r="37" spans="1:13" ht="20.25" customHeight="1">
      <c r="A37" s="191" t="s">
        <v>951</v>
      </c>
      <c r="B37" s="192">
        <v>4707</v>
      </c>
      <c r="C37" s="192">
        <v>2192</v>
      </c>
      <c r="D37" s="192">
        <v>1117</v>
      </c>
      <c r="E37" s="192">
        <v>1398</v>
      </c>
      <c r="F37" s="192">
        <v>1739</v>
      </c>
      <c r="G37" s="192">
        <v>4879</v>
      </c>
      <c r="H37" s="211"/>
      <c r="I37" s="187">
        <f>SUM(B37:D37)/E37</f>
        <v>5.733905579399142</v>
      </c>
      <c r="J37" s="188">
        <f>(G37/SUM(B37:D37))*100</f>
        <v>60.865768463073856</v>
      </c>
      <c r="K37" s="188">
        <f>(E37/SUM(B37:D37))*100</f>
        <v>17.440119760479043</v>
      </c>
      <c r="L37" s="189">
        <f>(F37/SUM(B37:D37))*100</f>
        <v>21.694111776447105</v>
      </c>
      <c r="M37" s="203"/>
    </row>
    <row r="38" spans="1:13" ht="20.25" customHeight="1">
      <c r="A38" s="194"/>
      <c r="B38" s="192"/>
      <c r="C38" s="192"/>
      <c r="D38" s="192"/>
      <c r="E38" s="192"/>
      <c r="F38" s="192"/>
      <c r="G38" s="192"/>
      <c r="H38" s="211"/>
      <c r="I38" s="187"/>
      <c r="J38" s="188"/>
      <c r="K38" s="188"/>
      <c r="L38" s="189"/>
      <c r="M38" s="203"/>
    </row>
    <row r="39" spans="1:13" ht="20.25" customHeight="1">
      <c r="A39" s="190" t="s">
        <v>829</v>
      </c>
      <c r="B39" s="181">
        <f t="shared" ref="B39:G39" si="9">B40</f>
        <v>6851</v>
      </c>
      <c r="C39" s="181">
        <f t="shared" si="9"/>
        <v>3001</v>
      </c>
      <c r="D39" s="181">
        <f t="shared" si="9"/>
        <v>319</v>
      </c>
      <c r="E39" s="181">
        <f t="shared" si="9"/>
        <v>1608</v>
      </c>
      <c r="F39" s="181">
        <f t="shared" si="9"/>
        <v>240</v>
      </c>
      <c r="G39" s="181">
        <f t="shared" si="9"/>
        <v>8323</v>
      </c>
      <c r="H39" s="211"/>
      <c r="I39" s="183">
        <f>SUM(B39:D39)/E39</f>
        <v>6.3252487562189055</v>
      </c>
      <c r="J39" s="184">
        <f>(G39/SUM(B39:D39))*100</f>
        <v>81.830695113558164</v>
      </c>
      <c r="K39" s="184">
        <f>(E39/SUM(B39:D39))*100</f>
        <v>15.809654901189656</v>
      </c>
      <c r="L39" s="185">
        <f>(F39/SUM(B39:D39))*100</f>
        <v>2.3596499852521875</v>
      </c>
      <c r="M39" s="203"/>
    </row>
    <row r="40" spans="1:13" ht="20.25" customHeight="1">
      <c r="A40" s="191" t="s">
        <v>952</v>
      </c>
      <c r="B40" s="192">
        <v>6851</v>
      </c>
      <c r="C40" s="192">
        <v>3001</v>
      </c>
      <c r="D40" s="192">
        <v>319</v>
      </c>
      <c r="E40" s="192">
        <v>1608</v>
      </c>
      <c r="F40" s="192">
        <v>240</v>
      </c>
      <c r="G40" s="192">
        <v>8323</v>
      </c>
      <c r="H40" s="211"/>
      <c r="I40" s="187">
        <f>SUM(B40:D40)/E40</f>
        <v>6.3252487562189055</v>
      </c>
      <c r="J40" s="188">
        <f>(G40/SUM(B40:D40))*100</f>
        <v>81.830695113558164</v>
      </c>
      <c r="K40" s="188">
        <f>(E40/SUM(B40:D40))*100</f>
        <v>15.809654901189656</v>
      </c>
      <c r="L40" s="189">
        <f>(F40/SUM(B40:D40))*100</f>
        <v>2.3596499852521875</v>
      </c>
      <c r="M40" s="203"/>
    </row>
    <row r="41" spans="1:13" ht="20.25" customHeight="1">
      <c r="A41" s="194"/>
      <c r="B41" s="192"/>
      <c r="C41" s="192"/>
      <c r="D41" s="192"/>
      <c r="E41" s="192"/>
      <c r="F41" s="192"/>
      <c r="G41" s="192"/>
      <c r="H41" s="211"/>
      <c r="I41" s="187"/>
      <c r="J41" s="188"/>
      <c r="K41" s="188"/>
      <c r="L41" s="189"/>
      <c r="M41" s="203"/>
    </row>
    <row r="42" spans="1:13" ht="20.25" customHeight="1">
      <c r="A42" s="190" t="s">
        <v>836</v>
      </c>
      <c r="B42" s="181">
        <f t="shared" ref="B42:G42" si="10">B43</f>
        <v>8903</v>
      </c>
      <c r="C42" s="181">
        <f t="shared" si="10"/>
        <v>2163</v>
      </c>
      <c r="D42" s="181">
        <f t="shared" si="10"/>
        <v>1196</v>
      </c>
      <c r="E42" s="181">
        <f t="shared" si="10"/>
        <v>1424</v>
      </c>
      <c r="F42" s="181">
        <f t="shared" si="10"/>
        <v>2231</v>
      </c>
      <c r="G42" s="181">
        <f t="shared" si="10"/>
        <v>8607</v>
      </c>
      <c r="H42" s="211"/>
      <c r="I42" s="183">
        <f>SUM(B42:D42)/E42</f>
        <v>8.6109550561797761</v>
      </c>
      <c r="J42" s="184">
        <f>(G42/SUM(B42:D42))*100</f>
        <v>70.192464524547376</v>
      </c>
      <c r="K42" s="184">
        <f>(E42/SUM(B42:D42))*100</f>
        <v>11.613113684553907</v>
      </c>
      <c r="L42" s="185">
        <f>(F42/SUM(B42:D42))*100</f>
        <v>18.194421790898712</v>
      </c>
      <c r="M42" s="203"/>
    </row>
    <row r="43" spans="1:13" ht="20.25" customHeight="1">
      <c r="A43" s="191" t="s">
        <v>953</v>
      </c>
      <c r="B43" s="192">
        <v>8903</v>
      </c>
      <c r="C43" s="192">
        <v>2163</v>
      </c>
      <c r="D43" s="192">
        <v>1196</v>
      </c>
      <c r="E43" s="192">
        <v>1424</v>
      </c>
      <c r="F43" s="192">
        <v>2231</v>
      </c>
      <c r="G43" s="192">
        <v>8607</v>
      </c>
      <c r="H43" s="211"/>
      <c r="I43" s="187">
        <f>SUM(B43:D43)/E43</f>
        <v>8.6109550561797761</v>
      </c>
      <c r="J43" s="188">
        <f>(G43/SUM(B43:D43))*100</f>
        <v>70.192464524547376</v>
      </c>
      <c r="K43" s="188">
        <f>(E43/SUM(B43:D43))*100</f>
        <v>11.613113684553907</v>
      </c>
      <c r="L43" s="189">
        <f>(F43/SUM(B43:D43))*100</f>
        <v>18.194421790898712</v>
      </c>
      <c r="M43" s="203"/>
    </row>
    <row r="44" spans="1:13" s="153" customFormat="1" ht="20.25" customHeight="1">
      <c r="A44" s="194"/>
      <c r="B44" s="192"/>
      <c r="C44" s="192"/>
      <c r="D44" s="192"/>
      <c r="E44" s="192"/>
      <c r="F44" s="192"/>
      <c r="G44" s="192"/>
      <c r="H44" s="211"/>
      <c r="I44" s="187"/>
      <c r="J44" s="188"/>
      <c r="K44" s="188"/>
      <c r="L44" s="189"/>
      <c r="M44" s="203"/>
    </row>
    <row r="45" spans="1:13" s="153" customFormat="1" ht="20.25" customHeight="1">
      <c r="A45" s="190" t="s">
        <v>954</v>
      </c>
      <c r="B45" s="181">
        <f t="shared" ref="B45:G45" si="11">B46</f>
        <v>18935</v>
      </c>
      <c r="C45" s="181">
        <f t="shared" si="11"/>
        <v>6292</v>
      </c>
      <c r="D45" s="181">
        <f t="shared" si="11"/>
        <v>4360</v>
      </c>
      <c r="E45" s="181">
        <f t="shared" si="11"/>
        <v>4597</v>
      </c>
      <c r="F45" s="181">
        <f t="shared" si="11"/>
        <v>10577</v>
      </c>
      <c r="G45" s="181">
        <f t="shared" si="11"/>
        <v>14413</v>
      </c>
      <c r="H45" s="211"/>
      <c r="I45" s="183">
        <f>SUM(B45:D45)/E45</f>
        <v>6.436154013487057</v>
      </c>
      <c r="J45" s="184">
        <f>(G45/SUM(B45:D45))*100</f>
        <v>48.713962213134145</v>
      </c>
      <c r="K45" s="184">
        <f>(E45/SUM(B45:D45))*100</f>
        <v>15.537229188494948</v>
      </c>
      <c r="L45" s="185">
        <f>(F45/SUM(B45:D45))*100</f>
        <v>35.748808598370907</v>
      </c>
      <c r="M45" s="203"/>
    </row>
    <row r="46" spans="1:13" s="153" customFormat="1" ht="20.25" customHeight="1">
      <c r="A46" s="194" t="s">
        <v>955</v>
      </c>
      <c r="B46" s="192">
        <v>18935</v>
      </c>
      <c r="C46" s="192">
        <v>6292</v>
      </c>
      <c r="D46" s="192">
        <v>4360</v>
      </c>
      <c r="E46" s="192">
        <v>4597</v>
      </c>
      <c r="F46" s="192">
        <v>10577</v>
      </c>
      <c r="G46" s="192">
        <v>14413</v>
      </c>
      <c r="H46" s="211"/>
      <c r="I46" s="187">
        <f>SUM(B46:D46)/E46</f>
        <v>6.436154013487057</v>
      </c>
      <c r="J46" s="188">
        <f>(G46/SUM(B46:D46))*100</f>
        <v>48.713962213134145</v>
      </c>
      <c r="K46" s="188">
        <f>(E46/SUM(B46:D46))*100</f>
        <v>15.537229188494948</v>
      </c>
      <c r="L46" s="189">
        <f>(F46/SUM(B46:D46))*100</f>
        <v>35.748808598370907</v>
      </c>
      <c r="M46" s="203"/>
    </row>
    <row r="47" spans="1:13" s="153" customFormat="1" ht="20.25" customHeight="1">
      <c r="A47" s="194"/>
      <c r="B47" s="192"/>
      <c r="C47" s="192"/>
      <c r="D47" s="192"/>
      <c r="E47" s="192"/>
      <c r="F47" s="192"/>
      <c r="G47" s="192"/>
      <c r="H47" s="211"/>
      <c r="I47" s="187"/>
      <c r="J47" s="188"/>
      <c r="K47" s="188"/>
      <c r="L47" s="189"/>
      <c r="M47" s="203"/>
    </row>
    <row r="48" spans="1:13" s="153" customFormat="1" ht="20.25" customHeight="1">
      <c r="A48" s="190" t="s">
        <v>956</v>
      </c>
      <c r="B48" s="181">
        <f t="shared" ref="B48:G48" si="12">B49</f>
        <v>1797</v>
      </c>
      <c r="C48" s="181">
        <f t="shared" si="12"/>
        <v>1382</v>
      </c>
      <c r="D48" s="181">
        <f t="shared" si="12"/>
        <v>117</v>
      </c>
      <c r="E48" s="181">
        <f t="shared" si="12"/>
        <v>568</v>
      </c>
      <c r="F48" s="181">
        <f t="shared" si="12"/>
        <v>439</v>
      </c>
      <c r="G48" s="181">
        <f t="shared" si="12"/>
        <v>2289</v>
      </c>
      <c r="H48" s="211"/>
      <c r="I48" s="183">
        <f>SUM(B48:D48)/E48</f>
        <v>5.802816901408451</v>
      </c>
      <c r="J48" s="184">
        <f>(G48/SUM(B48:D48))*100</f>
        <v>69.447815533980588</v>
      </c>
      <c r="K48" s="184">
        <f>(E48/SUM(B48:D48))*100</f>
        <v>17.233009708737864</v>
      </c>
      <c r="L48" s="185">
        <f>(F48/SUM(B48:D48))*100</f>
        <v>13.319174757281555</v>
      </c>
      <c r="M48" s="203"/>
    </row>
    <row r="49" spans="1:13" s="153" customFormat="1" ht="20.25" customHeight="1">
      <c r="A49" s="194" t="s">
        <v>957</v>
      </c>
      <c r="B49" s="192">
        <v>1797</v>
      </c>
      <c r="C49" s="192">
        <v>1382</v>
      </c>
      <c r="D49" s="192">
        <v>117</v>
      </c>
      <c r="E49" s="192">
        <v>568</v>
      </c>
      <c r="F49" s="192">
        <v>439</v>
      </c>
      <c r="G49" s="192">
        <v>2289</v>
      </c>
      <c r="H49" s="211"/>
      <c r="I49" s="187">
        <f>SUM(B49:D49)/E49</f>
        <v>5.802816901408451</v>
      </c>
      <c r="J49" s="188">
        <f>(G49/SUM(B49:D49))*100</f>
        <v>69.447815533980588</v>
      </c>
      <c r="K49" s="188">
        <f>(E49/SUM(B49:D49))*100</f>
        <v>17.233009708737864</v>
      </c>
      <c r="L49" s="189">
        <f>(F49/SUM(B49:D49))*100</f>
        <v>13.319174757281555</v>
      </c>
      <c r="M49" s="203"/>
    </row>
    <row r="50" spans="1:13" s="153" customFormat="1" ht="20.25" customHeight="1">
      <c r="A50" s="213"/>
      <c r="B50" s="192"/>
      <c r="C50" s="192"/>
      <c r="D50" s="192"/>
      <c r="E50" s="192"/>
      <c r="F50" s="192"/>
      <c r="G50" s="192"/>
      <c r="H50" s="211"/>
      <c r="I50" s="187"/>
      <c r="J50" s="188"/>
      <c r="K50" s="188"/>
      <c r="L50" s="189"/>
      <c r="M50" s="203"/>
    </row>
    <row r="51" spans="1:13" s="153" customFormat="1" ht="20.25" customHeight="1">
      <c r="A51" s="215" t="s">
        <v>857</v>
      </c>
      <c r="B51" s="181">
        <f t="shared" ref="B51:G51" si="13">B52</f>
        <v>13369</v>
      </c>
      <c r="C51" s="181">
        <f t="shared" si="13"/>
        <v>2533</v>
      </c>
      <c r="D51" s="181">
        <f t="shared" si="13"/>
        <v>1232</v>
      </c>
      <c r="E51" s="181">
        <f t="shared" si="13"/>
        <v>1518</v>
      </c>
      <c r="F51" s="181">
        <f t="shared" si="13"/>
        <v>6295</v>
      </c>
      <c r="G51" s="181">
        <f t="shared" si="13"/>
        <v>9321</v>
      </c>
      <c r="H51" s="211"/>
      <c r="I51" s="183">
        <f>SUM(B51:D51)/E51</f>
        <v>11.287220026350461</v>
      </c>
      <c r="J51" s="184">
        <f>(G51/SUM(B51:D51))*100</f>
        <v>54.400606980273139</v>
      </c>
      <c r="K51" s="184">
        <f>(E51/SUM(B51:D51))*100</f>
        <v>8.859577448348313</v>
      </c>
      <c r="L51" s="185">
        <f>(F51/SUM(B51:D51))*100</f>
        <v>36.73981557137855</v>
      </c>
      <c r="M51" s="203"/>
    </row>
    <row r="52" spans="1:13" s="153" customFormat="1" ht="20.25" customHeight="1">
      <c r="A52" s="213" t="s">
        <v>958</v>
      </c>
      <c r="B52" s="192">
        <v>13369</v>
      </c>
      <c r="C52" s="192">
        <v>2533</v>
      </c>
      <c r="D52" s="192">
        <v>1232</v>
      </c>
      <c r="E52" s="192">
        <v>1518</v>
      </c>
      <c r="F52" s="192">
        <v>6295</v>
      </c>
      <c r="G52" s="192">
        <v>9321</v>
      </c>
      <c r="H52" s="211"/>
      <c r="I52" s="187">
        <f>SUM(B52:D52)/E52</f>
        <v>11.287220026350461</v>
      </c>
      <c r="J52" s="188">
        <f>(G52/SUM(B52:D52))*100</f>
        <v>54.400606980273139</v>
      </c>
      <c r="K52" s="188">
        <f>(E52/SUM(B52:D52))*100</f>
        <v>8.859577448348313</v>
      </c>
      <c r="L52" s="189">
        <f>(F52/SUM(B52:D52))*100</f>
        <v>36.73981557137855</v>
      </c>
      <c r="M52" s="203"/>
    </row>
    <row r="53" spans="1:13" s="153" customFormat="1" ht="20.25" customHeight="1">
      <c r="A53" s="213"/>
      <c r="B53" s="192"/>
      <c r="C53" s="192"/>
      <c r="D53" s="192"/>
      <c r="E53" s="192"/>
      <c r="F53" s="192"/>
      <c r="G53" s="192"/>
      <c r="H53" s="216"/>
      <c r="I53" s="187"/>
      <c r="J53" s="188"/>
      <c r="K53" s="188"/>
      <c r="L53" s="189"/>
      <c r="M53" s="203"/>
    </row>
    <row r="54" spans="1:13" s="153" customFormat="1" ht="20.25" customHeight="1">
      <c r="A54" s="215" t="s">
        <v>860</v>
      </c>
      <c r="B54" s="181">
        <f t="shared" ref="B54:G54" si="14">B55</f>
        <v>7278</v>
      </c>
      <c r="C54" s="181">
        <f t="shared" si="14"/>
        <v>2971</v>
      </c>
      <c r="D54" s="181">
        <f t="shared" si="14"/>
        <v>598</v>
      </c>
      <c r="E54" s="181">
        <f t="shared" si="14"/>
        <v>3450</v>
      </c>
      <c r="F54" s="181">
        <f t="shared" si="14"/>
        <v>188</v>
      </c>
      <c r="G54" s="181">
        <f t="shared" si="14"/>
        <v>7209</v>
      </c>
      <c r="H54" s="216"/>
      <c r="I54" s="183">
        <f>SUM(B54:D54)/E54</f>
        <v>3.1440579710144929</v>
      </c>
      <c r="J54" s="184">
        <f>(G54/SUM(B54:D54))*100</f>
        <v>66.460772563842539</v>
      </c>
      <c r="K54" s="184">
        <f>(E54/SUM(B54:D54))*100</f>
        <v>31.806029316861807</v>
      </c>
      <c r="L54" s="185">
        <f>(F54/SUM(B54:D54))*100</f>
        <v>1.7331981192956578</v>
      </c>
      <c r="M54" s="203"/>
    </row>
    <row r="55" spans="1:13" ht="20.25" customHeight="1">
      <c r="A55" s="213" t="s">
        <v>959</v>
      </c>
      <c r="B55" s="192">
        <v>7278</v>
      </c>
      <c r="C55" s="192">
        <v>2971</v>
      </c>
      <c r="D55" s="192">
        <v>598</v>
      </c>
      <c r="E55" s="192">
        <v>3450</v>
      </c>
      <c r="F55" s="192">
        <v>188</v>
      </c>
      <c r="G55" s="192">
        <v>7209</v>
      </c>
      <c r="H55" s="216"/>
      <c r="I55" s="187">
        <f>SUM(B55:D55)/E55</f>
        <v>3.1440579710144929</v>
      </c>
      <c r="J55" s="188">
        <f>(G55/SUM(B55:D55))*100</f>
        <v>66.460772563842539</v>
      </c>
      <c r="K55" s="188">
        <f>(E55/SUM(B55:D55))*100</f>
        <v>31.806029316861807</v>
      </c>
      <c r="L55" s="189">
        <f>(F55/SUM(B55:D55))*100</f>
        <v>1.7331981192956578</v>
      </c>
      <c r="M55" s="203"/>
    </row>
    <row r="56" spans="1:13" ht="20.25" customHeight="1">
      <c r="A56" s="217"/>
      <c r="B56" s="218"/>
      <c r="C56" s="218"/>
      <c r="D56" s="218"/>
      <c r="E56" s="218"/>
      <c r="F56" s="218"/>
      <c r="G56" s="218"/>
      <c r="H56" s="218"/>
      <c r="I56" s="218"/>
      <c r="J56" s="218"/>
      <c r="K56" s="218"/>
      <c r="L56" s="218"/>
    </row>
    <row r="57" spans="1:13" ht="20.25" customHeight="1">
      <c r="A57" s="39" t="s">
        <v>1072</v>
      </c>
    </row>
  </sheetData>
  <sheetProtection selectLockedCells="1" selectUnlockedCells="1"/>
  <mergeCells count="3">
    <mergeCell ref="A3:L3"/>
    <mergeCell ref="B5:G5"/>
    <mergeCell ref="I5:L5"/>
  </mergeCells>
  <phoneticPr fontId="0" type="noConversion"/>
  <printOptions horizontalCentered="1" verticalCentered="1"/>
  <pageMargins left="0.19652777777777777" right="0.19652777777777777" top="0" bottom="0" header="0.51180555555555551" footer="0.51180555555555551"/>
  <pageSetup firstPageNumber="0"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O50"/>
  <sheetViews>
    <sheetView zoomScale="85" zoomScaleNormal="85" workbookViewId="0">
      <selection activeCell="A3" sqref="A3:M3"/>
    </sheetView>
  </sheetViews>
  <sheetFormatPr baseColWidth="10" defaultColWidth="11.44140625" defaultRowHeight="20.25" customHeight="1"/>
  <cols>
    <col min="1" max="1" width="77.33203125" style="219" customWidth="1"/>
    <col min="2" max="2" width="20.5546875" style="219" customWidth="1"/>
    <col min="3" max="3" width="21" style="219" customWidth="1"/>
    <col min="4" max="5" width="21.33203125" style="219" customWidth="1"/>
    <col min="6" max="6" width="20.44140625" style="219" customWidth="1"/>
    <col min="7" max="7" width="21.88671875" style="219" customWidth="1"/>
    <col min="8" max="8" width="19.5546875" style="219" customWidth="1"/>
    <col min="9" max="9" width="5.6640625" style="152" customWidth="1"/>
    <col min="10" max="13" width="18.6640625" style="152" customWidth="1"/>
    <col min="14" max="15" width="11.44140625" style="152"/>
    <col min="16" max="16384" width="11.44140625" style="219"/>
  </cols>
  <sheetData>
    <row r="1" spans="1:15" ht="20.25" customHeight="1">
      <c r="A1" s="220" t="s">
        <v>875</v>
      </c>
      <c r="B1" s="154"/>
      <c r="C1" s="154"/>
      <c r="D1" s="154"/>
      <c r="E1" s="154"/>
      <c r="F1" s="154"/>
      <c r="G1" s="154"/>
      <c r="H1" s="154"/>
    </row>
    <row r="2" spans="1:15" ht="20.25" customHeight="1">
      <c r="A2" s="221"/>
      <c r="B2" s="221"/>
      <c r="C2" s="221"/>
      <c r="D2" s="221"/>
      <c r="E2" s="221"/>
      <c r="F2" s="221"/>
      <c r="G2" s="221"/>
      <c r="H2" s="221"/>
    </row>
    <row r="3" spans="1:15" s="220" customFormat="1" ht="20.25" customHeight="1">
      <c r="A3" s="457" t="s">
        <v>1056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153"/>
      <c r="O3" s="153"/>
    </row>
    <row r="4" spans="1:15" ht="20.25" customHeight="1">
      <c r="A4" s="222"/>
      <c r="B4" s="222"/>
      <c r="C4" s="222"/>
      <c r="D4" s="222"/>
      <c r="E4" s="222"/>
      <c r="F4" s="222"/>
      <c r="G4" s="222"/>
      <c r="H4" s="222"/>
      <c r="I4" s="160"/>
      <c r="J4" s="160"/>
      <c r="K4" s="160"/>
      <c r="L4" s="160"/>
      <c r="M4" s="160"/>
    </row>
    <row r="5" spans="1:15" ht="20.25" customHeight="1">
      <c r="A5" s="223"/>
      <c r="B5" s="460" t="s">
        <v>535</v>
      </c>
      <c r="C5" s="460"/>
      <c r="D5" s="460"/>
      <c r="E5" s="460"/>
      <c r="F5" s="460"/>
      <c r="G5" s="460"/>
      <c r="H5" s="460"/>
      <c r="I5" s="162"/>
      <c r="J5" s="459" t="s">
        <v>536</v>
      </c>
      <c r="K5" s="459"/>
      <c r="L5" s="459"/>
      <c r="M5" s="459"/>
    </row>
    <row r="6" spans="1:15" ht="20.25" customHeight="1">
      <c r="A6" s="186" t="s">
        <v>537</v>
      </c>
      <c r="B6" s="205" t="s">
        <v>538</v>
      </c>
      <c r="C6" s="165" t="s">
        <v>539</v>
      </c>
      <c r="D6" s="165" t="s">
        <v>539</v>
      </c>
      <c r="E6" s="165" t="s">
        <v>1049</v>
      </c>
      <c r="F6" s="165" t="s">
        <v>539</v>
      </c>
      <c r="G6" s="165" t="s">
        <v>539</v>
      </c>
      <c r="H6" s="205" t="s">
        <v>538</v>
      </c>
      <c r="I6" s="166"/>
      <c r="J6" s="163" t="s">
        <v>541</v>
      </c>
      <c r="K6" s="165" t="s">
        <v>542</v>
      </c>
      <c r="L6" s="165" t="s">
        <v>542</v>
      </c>
      <c r="M6" s="163" t="s">
        <v>542</v>
      </c>
    </row>
    <row r="7" spans="1:15" ht="20.25" customHeight="1">
      <c r="A7" s="224"/>
      <c r="B7" s="225">
        <v>42370</v>
      </c>
      <c r="C7" s="173" t="s">
        <v>543</v>
      </c>
      <c r="D7" s="173" t="s">
        <v>544</v>
      </c>
      <c r="E7" s="173" t="s">
        <v>1050</v>
      </c>
      <c r="F7" s="173" t="s">
        <v>866</v>
      </c>
      <c r="G7" s="173" t="s">
        <v>546</v>
      </c>
      <c r="H7" s="225">
        <v>42735</v>
      </c>
      <c r="I7" s="171"/>
      <c r="J7" s="172" t="s">
        <v>547</v>
      </c>
      <c r="K7" s="173" t="s">
        <v>548</v>
      </c>
      <c r="L7" s="173" t="s">
        <v>549</v>
      </c>
      <c r="M7" s="172" t="s">
        <v>550</v>
      </c>
    </row>
    <row r="8" spans="1:15" ht="20.25" customHeight="1">
      <c r="A8" s="226"/>
      <c r="B8" s="209"/>
      <c r="C8" s="209"/>
      <c r="D8" s="209"/>
      <c r="E8" s="209"/>
      <c r="F8" s="209"/>
      <c r="G8" s="209"/>
      <c r="H8" s="227"/>
      <c r="I8" s="166"/>
      <c r="J8" s="179"/>
      <c r="K8" s="166"/>
      <c r="L8" s="166"/>
      <c r="M8" s="179"/>
    </row>
    <row r="9" spans="1:15" ht="20.25" customHeight="1">
      <c r="A9" s="180" t="s">
        <v>876</v>
      </c>
      <c r="B9" s="181">
        <f t="shared" ref="B9:H9" si="0">SUM(B11,B14,B17,B21,B24,B28,B31,B34,B37,B41,B44,B47)</f>
        <v>6938</v>
      </c>
      <c r="C9" s="181">
        <f t="shared" si="0"/>
        <v>3058</v>
      </c>
      <c r="D9" s="181">
        <f t="shared" si="0"/>
        <v>1635</v>
      </c>
      <c r="E9" s="181">
        <f t="shared" si="0"/>
        <v>3</v>
      </c>
      <c r="F9" s="181">
        <f t="shared" si="0"/>
        <v>3237</v>
      </c>
      <c r="G9" s="181">
        <f t="shared" si="0"/>
        <v>1651</v>
      </c>
      <c r="H9" s="181">
        <f t="shared" si="0"/>
        <v>6746</v>
      </c>
      <c r="I9" s="182"/>
      <c r="J9" s="183">
        <f>SUM(B9:E9)/F9</f>
        <v>3.5940685820203893</v>
      </c>
      <c r="K9" s="184">
        <f>(H9/SUM(B9:E9))*100</f>
        <v>57.985215746948604</v>
      </c>
      <c r="L9" s="184">
        <f>(F9/SUM(B9:E9))*100</f>
        <v>27.823620422898397</v>
      </c>
      <c r="M9" s="185">
        <f>(G9/SUM(B9:E9))*100</f>
        <v>14.191163830153</v>
      </c>
    </row>
    <row r="10" spans="1:15" ht="20.25" customHeight="1">
      <c r="A10" s="186"/>
      <c r="B10" s="181"/>
      <c r="C10" s="228"/>
      <c r="D10" s="181"/>
      <c r="E10" s="181"/>
      <c r="F10" s="181"/>
      <c r="G10" s="228"/>
      <c r="H10" s="181"/>
      <c r="I10" s="182"/>
      <c r="J10" s="183"/>
      <c r="K10" s="184"/>
      <c r="L10" s="184"/>
      <c r="M10" s="185"/>
    </row>
    <row r="11" spans="1:15" s="220" customFormat="1" ht="20.25" customHeight="1">
      <c r="A11" s="190" t="s">
        <v>268</v>
      </c>
      <c r="B11" s="181">
        <f t="shared" ref="B11:H11" si="1">B12</f>
        <v>427</v>
      </c>
      <c r="C11" s="181">
        <f t="shared" si="1"/>
        <v>185</v>
      </c>
      <c r="D11" s="181">
        <f t="shared" si="1"/>
        <v>192</v>
      </c>
      <c r="E11" s="181">
        <f t="shared" si="1"/>
        <v>0</v>
      </c>
      <c r="F11" s="181">
        <f t="shared" si="1"/>
        <v>220</v>
      </c>
      <c r="G11" s="181">
        <f t="shared" si="1"/>
        <v>125</v>
      </c>
      <c r="H11" s="181">
        <f t="shared" si="1"/>
        <v>459</v>
      </c>
      <c r="I11" s="182"/>
      <c r="J11" s="183">
        <f t="shared" ref="J11:J48" si="2">SUM(B11:E11)/F11</f>
        <v>3.6545454545454548</v>
      </c>
      <c r="K11" s="184">
        <f t="shared" ref="K11:K48" si="3">(H11/SUM(B11:E11))*100</f>
        <v>57.089552238805972</v>
      </c>
      <c r="L11" s="184">
        <f t="shared" ref="L11:L48" si="4">(F11/SUM(B11:E11))*100</f>
        <v>27.363184079601986</v>
      </c>
      <c r="M11" s="185">
        <f t="shared" ref="M11:M48" si="5">(G11/SUM(B11:E11))*100</f>
        <v>15.547263681592039</v>
      </c>
      <c r="N11" s="153"/>
      <c r="O11" s="153"/>
    </row>
    <row r="12" spans="1:15" ht="20.25" customHeight="1">
      <c r="A12" s="213" t="s">
        <v>877</v>
      </c>
      <c r="B12" s="192">
        <v>427</v>
      </c>
      <c r="C12" s="192">
        <v>185</v>
      </c>
      <c r="D12" s="192">
        <v>192</v>
      </c>
      <c r="E12" s="192">
        <v>0</v>
      </c>
      <c r="F12" s="192">
        <v>220</v>
      </c>
      <c r="G12" s="192">
        <v>125</v>
      </c>
      <c r="H12" s="192">
        <v>459</v>
      </c>
      <c r="I12" s="182"/>
      <c r="J12" s="187">
        <f t="shared" si="2"/>
        <v>3.6545454545454548</v>
      </c>
      <c r="K12" s="188">
        <f t="shared" si="3"/>
        <v>57.089552238805972</v>
      </c>
      <c r="L12" s="188">
        <f t="shared" si="4"/>
        <v>27.363184079601986</v>
      </c>
      <c r="M12" s="189">
        <f t="shared" si="5"/>
        <v>15.547263681592039</v>
      </c>
    </row>
    <row r="13" spans="1:15" ht="20.25" customHeight="1">
      <c r="A13" s="194"/>
      <c r="B13" s="181"/>
      <c r="C13" s="181"/>
      <c r="D13" s="181"/>
      <c r="E13" s="181"/>
      <c r="F13" s="181"/>
      <c r="G13" s="181"/>
      <c r="H13" s="181"/>
      <c r="I13" s="182"/>
      <c r="J13" s="183"/>
      <c r="K13" s="184"/>
      <c r="L13" s="184"/>
      <c r="M13" s="185"/>
    </row>
    <row r="14" spans="1:15" s="220" customFormat="1" ht="20.25" customHeight="1">
      <c r="A14" s="190" t="s">
        <v>280</v>
      </c>
      <c r="B14" s="181">
        <f t="shared" ref="B14:H14" si="6">B15</f>
        <v>329</v>
      </c>
      <c r="C14" s="181">
        <f t="shared" si="6"/>
        <v>231</v>
      </c>
      <c r="D14" s="181">
        <f t="shared" si="6"/>
        <v>47</v>
      </c>
      <c r="E14" s="181">
        <f t="shared" si="6"/>
        <v>0</v>
      </c>
      <c r="F14" s="181">
        <f t="shared" si="6"/>
        <v>201</v>
      </c>
      <c r="G14" s="181">
        <f t="shared" si="6"/>
        <v>74</v>
      </c>
      <c r="H14" s="181">
        <f t="shared" si="6"/>
        <v>332</v>
      </c>
      <c r="I14" s="182"/>
      <c r="J14" s="183">
        <f t="shared" si="2"/>
        <v>3.0199004975124377</v>
      </c>
      <c r="K14" s="184">
        <f t="shared" si="3"/>
        <v>54.695222405271828</v>
      </c>
      <c r="L14" s="184">
        <f t="shared" si="4"/>
        <v>33.113673805601316</v>
      </c>
      <c r="M14" s="185">
        <f t="shared" si="5"/>
        <v>12.191103789126853</v>
      </c>
      <c r="N14" s="153"/>
      <c r="O14" s="153"/>
    </row>
    <row r="15" spans="1:15" ht="20.25" customHeight="1">
      <c r="A15" s="213" t="s">
        <v>878</v>
      </c>
      <c r="B15" s="192">
        <v>329</v>
      </c>
      <c r="C15" s="192">
        <v>231</v>
      </c>
      <c r="D15" s="192">
        <v>47</v>
      </c>
      <c r="E15" s="192">
        <v>0</v>
      </c>
      <c r="F15" s="192">
        <v>201</v>
      </c>
      <c r="G15" s="192">
        <v>74</v>
      </c>
      <c r="H15" s="192">
        <v>332</v>
      </c>
      <c r="I15" s="182"/>
      <c r="J15" s="187">
        <f t="shared" si="2"/>
        <v>3.0199004975124377</v>
      </c>
      <c r="K15" s="188">
        <f t="shared" si="3"/>
        <v>54.695222405271828</v>
      </c>
      <c r="L15" s="188">
        <f t="shared" si="4"/>
        <v>33.113673805601316</v>
      </c>
      <c r="M15" s="189">
        <f t="shared" si="5"/>
        <v>12.191103789126853</v>
      </c>
    </row>
    <row r="16" spans="1:15" s="220" customFormat="1" ht="20.25" customHeight="1">
      <c r="A16" s="194"/>
      <c r="B16" s="181"/>
      <c r="C16" s="181"/>
      <c r="D16" s="181"/>
      <c r="E16" s="181"/>
      <c r="F16" s="181"/>
      <c r="G16" s="181"/>
      <c r="H16" s="181"/>
      <c r="I16" s="182"/>
      <c r="J16" s="183"/>
      <c r="K16" s="184"/>
      <c r="L16" s="184"/>
      <c r="M16" s="185"/>
      <c r="N16" s="153"/>
      <c r="O16" s="153"/>
    </row>
    <row r="17" spans="1:15" s="220" customFormat="1" ht="20.25" customHeight="1">
      <c r="A17" s="190" t="s">
        <v>287</v>
      </c>
      <c r="B17" s="181">
        <f t="shared" ref="B17:H17" si="7">SUM(B18:B19)</f>
        <v>772</v>
      </c>
      <c r="C17" s="181">
        <f t="shared" si="7"/>
        <v>414</v>
      </c>
      <c r="D17" s="181">
        <f t="shared" si="7"/>
        <v>196</v>
      </c>
      <c r="E17" s="181">
        <f t="shared" ref="E17" si="8">SUM(E18:E19)</f>
        <v>2</v>
      </c>
      <c r="F17" s="181">
        <f t="shared" si="7"/>
        <v>405</v>
      </c>
      <c r="G17" s="181">
        <f t="shared" si="7"/>
        <v>225</v>
      </c>
      <c r="H17" s="181">
        <f t="shared" si="7"/>
        <v>754</v>
      </c>
      <c r="I17" s="182"/>
      <c r="J17" s="183">
        <f t="shared" si="2"/>
        <v>3.4172839506172838</v>
      </c>
      <c r="K17" s="184">
        <f t="shared" si="3"/>
        <v>54.479768786127167</v>
      </c>
      <c r="L17" s="184">
        <f t="shared" si="4"/>
        <v>29.263005780346823</v>
      </c>
      <c r="M17" s="185">
        <f t="shared" si="5"/>
        <v>16.257225433526013</v>
      </c>
      <c r="N17" s="153"/>
      <c r="O17" s="153"/>
    </row>
    <row r="18" spans="1:15" ht="20.25" customHeight="1">
      <c r="A18" s="213" t="s">
        <v>879</v>
      </c>
      <c r="B18" s="192">
        <v>484</v>
      </c>
      <c r="C18" s="192">
        <v>222</v>
      </c>
      <c r="D18" s="192">
        <v>166</v>
      </c>
      <c r="E18" s="192">
        <v>1</v>
      </c>
      <c r="F18" s="192">
        <v>333</v>
      </c>
      <c r="G18" s="192">
        <v>179</v>
      </c>
      <c r="H18" s="192">
        <v>361</v>
      </c>
      <c r="I18" s="182"/>
      <c r="J18" s="187">
        <f t="shared" si="2"/>
        <v>2.6216216216216215</v>
      </c>
      <c r="K18" s="188">
        <f t="shared" si="3"/>
        <v>41.3516609392898</v>
      </c>
      <c r="L18" s="188">
        <f t="shared" si="4"/>
        <v>38.144329896907216</v>
      </c>
      <c r="M18" s="189">
        <f t="shared" si="5"/>
        <v>20.504009163802976</v>
      </c>
    </row>
    <row r="19" spans="1:15" ht="20.25" customHeight="1">
      <c r="A19" s="213" t="s">
        <v>428</v>
      </c>
      <c r="B19" s="192">
        <v>288</v>
      </c>
      <c r="C19" s="192">
        <v>192</v>
      </c>
      <c r="D19" s="192">
        <v>30</v>
      </c>
      <c r="E19" s="192">
        <v>1</v>
      </c>
      <c r="F19" s="192">
        <v>72</v>
      </c>
      <c r="G19" s="192">
        <v>46</v>
      </c>
      <c r="H19" s="192">
        <v>393</v>
      </c>
      <c r="I19" s="182"/>
      <c r="J19" s="187">
        <f t="shared" si="2"/>
        <v>7.0972222222222223</v>
      </c>
      <c r="K19" s="188">
        <f t="shared" si="3"/>
        <v>76.908023483365952</v>
      </c>
      <c r="L19" s="188">
        <f t="shared" si="4"/>
        <v>14.090019569471623</v>
      </c>
      <c r="M19" s="189">
        <f t="shared" si="5"/>
        <v>9.0019569471624266</v>
      </c>
    </row>
    <row r="20" spans="1:15" s="220" customFormat="1" ht="20.25" customHeight="1">
      <c r="A20" s="194"/>
      <c r="B20" s="181"/>
      <c r="C20" s="181"/>
      <c r="D20" s="181"/>
      <c r="E20" s="181"/>
      <c r="F20" s="181"/>
      <c r="G20" s="181"/>
      <c r="H20" s="181"/>
      <c r="I20" s="182"/>
      <c r="J20" s="183"/>
      <c r="K20" s="184"/>
      <c r="L20" s="184"/>
      <c r="M20" s="185"/>
      <c r="N20" s="153"/>
      <c r="O20" s="153"/>
    </row>
    <row r="21" spans="1:15" s="220" customFormat="1" ht="20.25" customHeight="1">
      <c r="A21" s="190" t="s">
        <v>294</v>
      </c>
      <c r="B21" s="181">
        <f t="shared" ref="B21:H21" si="9">B22</f>
        <v>320</v>
      </c>
      <c r="C21" s="181">
        <f t="shared" si="9"/>
        <v>175</v>
      </c>
      <c r="D21" s="181">
        <f t="shared" si="9"/>
        <v>101</v>
      </c>
      <c r="E21" s="181">
        <f t="shared" si="9"/>
        <v>0</v>
      </c>
      <c r="F21" s="181">
        <f t="shared" si="9"/>
        <v>214</v>
      </c>
      <c r="G21" s="181">
        <f t="shared" si="9"/>
        <v>42</v>
      </c>
      <c r="H21" s="181">
        <f t="shared" si="9"/>
        <v>340</v>
      </c>
      <c r="I21" s="182"/>
      <c r="J21" s="183">
        <f t="shared" si="2"/>
        <v>2.7850467289719627</v>
      </c>
      <c r="K21" s="184">
        <f t="shared" si="3"/>
        <v>57.04697986577181</v>
      </c>
      <c r="L21" s="184">
        <f t="shared" si="4"/>
        <v>35.906040268456373</v>
      </c>
      <c r="M21" s="185">
        <f t="shared" si="5"/>
        <v>7.0469798657718119</v>
      </c>
      <c r="N21" s="153"/>
      <c r="O21" s="153"/>
    </row>
    <row r="22" spans="1:15" ht="20.25" customHeight="1">
      <c r="A22" s="213" t="s">
        <v>379</v>
      </c>
      <c r="B22" s="192">
        <v>320</v>
      </c>
      <c r="C22" s="192">
        <v>175</v>
      </c>
      <c r="D22" s="192">
        <v>101</v>
      </c>
      <c r="E22" s="192">
        <v>0</v>
      </c>
      <c r="F22" s="192">
        <v>214</v>
      </c>
      <c r="G22" s="192">
        <v>42</v>
      </c>
      <c r="H22" s="192">
        <v>340</v>
      </c>
      <c r="I22" s="182"/>
      <c r="J22" s="187">
        <f t="shared" si="2"/>
        <v>2.7850467289719627</v>
      </c>
      <c r="K22" s="188">
        <f t="shared" si="3"/>
        <v>57.04697986577181</v>
      </c>
      <c r="L22" s="188">
        <f t="shared" si="4"/>
        <v>35.906040268456373</v>
      </c>
      <c r="M22" s="189">
        <f t="shared" si="5"/>
        <v>7.0469798657718119</v>
      </c>
    </row>
    <row r="23" spans="1:15" s="220" customFormat="1" ht="20.25" customHeight="1">
      <c r="A23" s="194"/>
      <c r="B23" s="181"/>
      <c r="C23" s="181"/>
      <c r="D23" s="181"/>
      <c r="E23" s="181"/>
      <c r="F23" s="181"/>
      <c r="G23" s="181"/>
      <c r="H23" s="181"/>
      <c r="I23" s="182"/>
      <c r="J23" s="183"/>
      <c r="K23" s="184"/>
      <c r="L23" s="184"/>
      <c r="M23" s="185"/>
      <c r="N23" s="153"/>
      <c r="O23" s="153"/>
    </row>
    <row r="24" spans="1:15" s="220" customFormat="1" ht="20.25" customHeight="1">
      <c r="A24" s="190" t="s">
        <v>303</v>
      </c>
      <c r="B24" s="181">
        <f t="shared" ref="B24:H24" si="10">SUM(B25:B26)</f>
        <v>527</v>
      </c>
      <c r="C24" s="181">
        <f t="shared" si="10"/>
        <v>286</v>
      </c>
      <c r="D24" s="181">
        <f t="shared" si="10"/>
        <v>138</v>
      </c>
      <c r="E24" s="181">
        <f t="shared" ref="E24" si="11">SUM(E25:E26)</f>
        <v>0</v>
      </c>
      <c r="F24" s="181">
        <f t="shared" si="10"/>
        <v>323</v>
      </c>
      <c r="G24" s="181">
        <f t="shared" si="10"/>
        <v>131</v>
      </c>
      <c r="H24" s="181">
        <f t="shared" si="10"/>
        <v>497</v>
      </c>
      <c r="I24" s="182"/>
      <c r="J24" s="183">
        <f t="shared" si="2"/>
        <v>2.9442724458204332</v>
      </c>
      <c r="K24" s="184">
        <f t="shared" si="3"/>
        <v>52.260778128286013</v>
      </c>
      <c r="L24" s="184">
        <f t="shared" si="4"/>
        <v>33.964248159831754</v>
      </c>
      <c r="M24" s="185">
        <f t="shared" si="5"/>
        <v>13.774973711882229</v>
      </c>
      <c r="N24" s="153"/>
      <c r="O24" s="153"/>
    </row>
    <row r="25" spans="1:15" ht="20.25" customHeight="1">
      <c r="A25" s="213" t="s">
        <v>380</v>
      </c>
      <c r="B25" s="192">
        <v>362</v>
      </c>
      <c r="C25" s="192">
        <v>212</v>
      </c>
      <c r="D25" s="192">
        <v>102</v>
      </c>
      <c r="E25" s="192">
        <v>0</v>
      </c>
      <c r="F25" s="192">
        <v>215</v>
      </c>
      <c r="G25" s="192">
        <v>100</v>
      </c>
      <c r="H25" s="192">
        <v>361</v>
      </c>
      <c r="I25" s="182"/>
      <c r="J25" s="187">
        <f t="shared" si="2"/>
        <v>3.1441860465116278</v>
      </c>
      <c r="K25" s="188">
        <f t="shared" si="3"/>
        <v>53.402366863905328</v>
      </c>
      <c r="L25" s="188">
        <f t="shared" si="4"/>
        <v>31.804733727810653</v>
      </c>
      <c r="M25" s="189">
        <f t="shared" si="5"/>
        <v>14.792899408284024</v>
      </c>
    </row>
    <row r="26" spans="1:15" ht="20.25" customHeight="1">
      <c r="A26" s="213" t="s">
        <v>305</v>
      </c>
      <c r="B26" s="192">
        <v>165</v>
      </c>
      <c r="C26" s="192">
        <v>74</v>
      </c>
      <c r="D26" s="192">
        <v>36</v>
      </c>
      <c r="E26" s="192">
        <v>0</v>
      </c>
      <c r="F26" s="192">
        <v>108</v>
      </c>
      <c r="G26" s="192">
        <v>31</v>
      </c>
      <c r="H26" s="192">
        <v>136</v>
      </c>
      <c r="I26" s="182"/>
      <c r="J26" s="187">
        <f t="shared" si="2"/>
        <v>2.5462962962962963</v>
      </c>
      <c r="K26" s="188">
        <f t="shared" si="3"/>
        <v>49.454545454545453</v>
      </c>
      <c r="L26" s="188">
        <f t="shared" si="4"/>
        <v>39.272727272727273</v>
      </c>
      <c r="M26" s="189">
        <f t="shared" si="5"/>
        <v>11.272727272727273</v>
      </c>
    </row>
    <row r="27" spans="1:15" s="220" customFormat="1" ht="20.25" customHeight="1">
      <c r="A27" s="194"/>
      <c r="B27" s="181"/>
      <c r="C27" s="181"/>
      <c r="D27" s="181"/>
      <c r="E27" s="181"/>
      <c r="F27" s="181"/>
      <c r="G27" s="181"/>
      <c r="H27" s="181"/>
      <c r="I27" s="182"/>
      <c r="J27" s="183"/>
      <c r="K27" s="184"/>
      <c r="L27" s="184"/>
      <c r="M27" s="185"/>
      <c r="N27" s="153"/>
      <c r="O27" s="153"/>
    </row>
    <row r="28" spans="1:15" s="220" customFormat="1" ht="20.25" customHeight="1">
      <c r="A28" s="190" t="s">
        <v>820</v>
      </c>
      <c r="B28" s="181">
        <f t="shared" ref="B28:H28" si="12">B29</f>
        <v>595</v>
      </c>
      <c r="C28" s="181">
        <f t="shared" si="12"/>
        <v>207</v>
      </c>
      <c r="D28" s="181">
        <f t="shared" si="12"/>
        <v>166</v>
      </c>
      <c r="E28" s="181">
        <f t="shared" si="12"/>
        <v>0</v>
      </c>
      <c r="F28" s="181">
        <f t="shared" si="12"/>
        <v>294</v>
      </c>
      <c r="G28" s="181">
        <f t="shared" si="12"/>
        <v>137</v>
      </c>
      <c r="H28" s="181">
        <f t="shared" si="12"/>
        <v>537</v>
      </c>
      <c r="I28" s="182"/>
      <c r="J28" s="183">
        <f t="shared" si="2"/>
        <v>3.2925170068027212</v>
      </c>
      <c r="K28" s="184">
        <f t="shared" si="3"/>
        <v>55.47520661157025</v>
      </c>
      <c r="L28" s="184">
        <f t="shared" si="4"/>
        <v>30.371900826446279</v>
      </c>
      <c r="M28" s="185">
        <f t="shared" si="5"/>
        <v>14.152892561983471</v>
      </c>
      <c r="N28" s="153"/>
      <c r="O28" s="153"/>
    </row>
    <row r="29" spans="1:15" ht="20.25" customHeight="1">
      <c r="A29" s="213" t="s">
        <v>381</v>
      </c>
      <c r="B29" s="192">
        <v>595</v>
      </c>
      <c r="C29" s="192">
        <v>207</v>
      </c>
      <c r="D29" s="192">
        <v>166</v>
      </c>
      <c r="E29" s="192">
        <v>0</v>
      </c>
      <c r="F29" s="192">
        <v>294</v>
      </c>
      <c r="G29" s="192">
        <v>137</v>
      </c>
      <c r="H29" s="192">
        <v>537</v>
      </c>
      <c r="I29" s="182"/>
      <c r="J29" s="187">
        <f t="shared" si="2"/>
        <v>3.2925170068027212</v>
      </c>
      <c r="K29" s="188">
        <f t="shared" si="3"/>
        <v>55.47520661157025</v>
      </c>
      <c r="L29" s="188">
        <f t="shared" si="4"/>
        <v>30.371900826446279</v>
      </c>
      <c r="M29" s="189">
        <f t="shared" si="5"/>
        <v>14.152892561983471</v>
      </c>
    </row>
    <row r="30" spans="1:15" s="220" customFormat="1" ht="20.25" customHeight="1">
      <c r="A30" s="194"/>
      <c r="B30" s="181"/>
      <c r="C30" s="181"/>
      <c r="D30" s="181"/>
      <c r="E30" s="181"/>
      <c r="F30" s="181"/>
      <c r="G30" s="181"/>
      <c r="H30" s="181"/>
      <c r="I30" s="182"/>
      <c r="J30" s="183"/>
      <c r="K30" s="184"/>
      <c r="L30" s="184"/>
      <c r="M30" s="185"/>
      <c r="N30" s="153"/>
      <c r="O30" s="153"/>
    </row>
    <row r="31" spans="1:15" s="220" customFormat="1" ht="20.25" customHeight="1">
      <c r="A31" s="190" t="s">
        <v>829</v>
      </c>
      <c r="B31" s="181">
        <f t="shared" ref="B31:H31" si="13">B32</f>
        <v>1064</v>
      </c>
      <c r="C31" s="181">
        <f t="shared" si="13"/>
        <v>275</v>
      </c>
      <c r="D31" s="181">
        <f t="shared" si="13"/>
        <v>179</v>
      </c>
      <c r="E31" s="181">
        <f t="shared" si="13"/>
        <v>0</v>
      </c>
      <c r="F31" s="181">
        <f t="shared" si="13"/>
        <v>421</v>
      </c>
      <c r="G31" s="181">
        <f t="shared" si="13"/>
        <v>352</v>
      </c>
      <c r="H31" s="181">
        <f t="shared" si="13"/>
        <v>745</v>
      </c>
      <c r="I31" s="182"/>
      <c r="J31" s="183">
        <f t="shared" si="2"/>
        <v>3.6057007125890737</v>
      </c>
      <c r="K31" s="184">
        <f t="shared" si="3"/>
        <v>49.077733860342555</v>
      </c>
      <c r="L31" s="184">
        <f t="shared" si="4"/>
        <v>27.733860342555992</v>
      </c>
      <c r="M31" s="185">
        <f t="shared" si="5"/>
        <v>23.188405797101449</v>
      </c>
      <c r="N31" s="153"/>
      <c r="O31" s="153"/>
    </row>
    <row r="32" spans="1:15" ht="20.25" customHeight="1">
      <c r="A32" s="213" t="s">
        <v>382</v>
      </c>
      <c r="B32" s="192">
        <v>1064</v>
      </c>
      <c r="C32" s="192">
        <v>275</v>
      </c>
      <c r="D32" s="192">
        <v>179</v>
      </c>
      <c r="E32" s="192">
        <v>0</v>
      </c>
      <c r="F32" s="192">
        <v>421</v>
      </c>
      <c r="G32" s="192">
        <v>352</v>
      </c>
      <c r="H32" s="192">
        <v>745</v>
      </c>
      <c r="I32" s="182"/>
      <c r="J32" s="187">
        <f t="shared" si="2"/>
        <v>3.6057007125890737</v>
      </c>
      <c r="K32" s="188">
        <f t="shared" si="3"/>
        <v>49.077733860342555</v>
      </c>
      <c r="L32" s="188">
        <f t="shared" si="4"/>
        <v>27.733860342555992</v>
      </c>
      <c r="M32" s="189">
        <f t="shared" si="5"/>
        <v>23.188405797101449</v>
      </c>
    </row>
    <row r="33" spans="1:15" ht="20.25" customHeight="1">
      <c r="A33" s="194"/>
      <c r="B33" s="181"/>
      <c r="C33" s="181"/>
      <c r="D33" s="181"/>
      <c r="E33" s="181"/>
      <c r="F33" s="181"/>
      <c r="G33" s="181"/>
      <c r="H33" s="181"/>
      <c r="I33" s="182"/>
      <c r="J33" s="183"/>
      <c r="K33" s="184"/>
      <c r="L33" s="184"/>
      <c r="M33" s="185"/>
    </row>
    <row r="34" spans="1:15" s="220" customFormat="1" ht="20.25" customHeight="1">
      <c r="A34" s="190" t="s">
        <v>836</v>
      </c>
      <c r="B34" s="181">
        <f t="shared" ref="B34:H34" si="14">B35</f>
        <v>518</v>
      </c>
      <c r="C34" s="181">
        <f t="shared" si="14"/>
        <v>99</v>
      </c>
      <c r="D34" s="181">
        <f t="shared" si="14"/>
        <v>161</v>
      </c>
      <c r="E34" s="181">
        <f t="shared" si="14"/>
        <v>0</v>
      </c>
      <c r="F34" s="181">
        <f t="shared" si="14"/>
        <v>176</v>
      </c>
      <c r="G34" s="181">
        <f t="shared" si="14"/>
        <v>150</v>
      </c>
      <c r="H34" s="181">
        <f t="shared" si="14"/>
        <v>452</v>
      </c>
      <c r="I34" s="182"/>
      <c r="J34" s="183">
        <f t="shared" si="2"/>
        <v>4.4204545454545459</v>
      </c>
      <c r="K34" s="184">
        <f t="shared" si="3"/>
        <v>58.097686375321331</v>
      </c>
      <c r="L34" s="184">
        <f t="shared" si="4"/>
        <v>22.622107969151671</v>
      </c>
      <c r="M34" s="185">
        <f t="shared" si="5"/>
        <v>19.280205655526991</v>
      </c>
      <c r="N34" s="153"/>
      <c r="O34" s="153"/>
    </row>
    <row r="35" spans="1:15" ht="20.25" customHeight="1">
      <c r="A35" s="213" t="s">
        <v>383</v>
      </c>
      <c r="B35" s="192">
        <v>518</v>
      </c>
      <c r="C35" s="192">
        <v>99</v>
      </c>
      <c r="D35" s="192">
        <v>161</v>
      </c>
      <c r="E35" s="192">
        <v>0</v>
      </c>
      <c r="F35" s="192">
        <v>176</v>
      </c>
      <c r="G35" s="192">
        <v>150</v>
      </c>
      <c r="H35" s="192">
        <v>452</v>
      </c>
      <c r="I35" s="182"/>
      <c r="J35" s="187">
        <f t="shared" si="2"/>
        <v>4.4204545454545459</v>
      </c>
      <c r="K35" s="188">
        <f t="shared" si="3"/>
        <v>58.097686375321331</v>
      </c>
      <c r="L35" s="188">
        <f t="shared" si="4"/>
        <v>22.622107969151671</v>
      </c>
      <c r="M35" s="189">
        <f t="shared" si="5"/>
        <v>19.280205655526991</v>
      </c>
    </row>
    <row r="36" spans="1:15" s="220" customFormat="1" ht="20.25" customHeight="1">
      <c r="A36" s="194"/>
      <c r="B36" s="181"/>
      <c r="C36" s="181"/>
      <c r="D36" s="181"/>
      <c r="E36" s="181"/>
      <c r="F36" s="181"/>
      <c r="G36" s="181"/>
      <c r="H36" s="181"/>
      <c r="I36" s="182"/>
      <c r="J36" s="183"/>
      <c r="K36" s="184"/>
      <c r="L36" s="184"/>
      <c r="M36" s="185"/>
      <c r="N36" s="153"/>
      <c r="O36" s="153"/>
    </row>
    <row r="37" spans="1:15" s="220" customFormat="1" ht="20.25" customHeight="1">
      <c r="A37" s="190" t="s">
        <v>845</v>
      </c>
      <c r="B37" s="181">
        <f t="shared" ref="B37:H37" si="15">SUM(B38:B39)</f>
        <v>577</v>
      </c>
      <c r="C37" s="181">
        <f t="shared" si="15"/>
        <v>235</v>
      </c>
      <c r="D37" s="181">
        <f t="shared" si="15"/>
        <v>117</v>
      </c>
      <c r="E37" s="181">
        <f t="shared" ref="E37" si="16">SUM(E38:E39)</f>
        <v>0</v>
      </c>
      <c r="F37" s="181">
        <f t="shared" si="15"/>
        <v>238</v>
      </c>
      <c r="G37" s="181">
        <f t="shared" si="15"/>
        <v>117</v>
      </c>
      <c r="H37" s="181">
        <f t="shared" si="15"/>
        <v>574</v>
      </c>
      <c r="I37" s="182"/>
      <c r="J37" s="183">
        <f t="shared" si="2"/>
        <v>3.903361344537815</v>
      </c>
      <c r="K37" s="184">
        <f t="shared" si="3"/>
        <v>61.786867599569426</v>
      </c>
      <c r="L37" s="184">
        <f t="shared" si="4"/>
        <v>25.618945102260493</v>
      </c>
      <c r="M37" s="185">
        <f t="shared" si="5"/>
        <v>12.594187298170075</v>
      </c>
      <c r="N37" s="153"/>
      <c r="O37" s="153"/>
    </row>
    <row r="38" spans="1:15" ht="20.25" customHeight="1">
      <c r="A38" s="213" t="s">
        <v>384</v>
      </c>
      <c r="B38" s="192">
        <v>290</v>
      </c>
      <c r="C38" s="192">
        <v>128</v>
      </c>
      <c r="D38" s="192">
        <v>97</v>
      </c>
      <c r="E38" s="192">
        <v>0</v>
      </c>
      <c r="F38" s="192">
        <v>162</v>
      </c>
      <c r="G38" s="192">
        <v>47</v>
      </c>
      <c r="H38" s="192">
        <v>306</v>
      </c>
      <c r="I38" s="182"/>
      <c r="J38" s="187">
        <f t="shared" si="2"/>
        <v>3.1790123456790123</v>
      </c>
      <c r="K38" s="188">
        <f t="shared" si="3"/>
        <v>59.417475728155345</v>
      </c>
      <c r="L38" s="188">
        <f t="shared" si="4"/>
        <v>31.456310679611647</v>
      </c>
      <c r="M38" s="189">
        <f t="shared" si="5"/>
        <v>9.1262135922330092</v>
      </c>
    </row>
    <row r="39" spans="1:15" ht="20.25" customHeight="1">
      <c r="A39" s="213" t="s">
        <v>942</v>
      </c>
      <c r="B39" s="192">
        <v>287</v>
      </c>
      <c r="C39" s="192">
        <v>107</v>
      </c>
      <c r="D39" s="192">
        <v>20</v>
      </c>
      <c r="E39" s="192">
        <v>0</v>
      </c>
      <c r="F39" s="192">
        <v>76</v>
      </c>
      <c r="G39" s="192">
        <v>70</v>
      </c>
      <c r="H39" s="192">
        <v>268</v>
      </c>
      <c r="I39" s="182"/>
      <c r="J39" s="187">
        <f t="shared" si="2"/>
        <v>5.4473684210526319</v>
      </c>
      <c r="K39" s="188">
        <f t="shared" si="3"/>
        <v>64.734299516908209</v>
      </c>
      <c r="L39" s="188">
        <f t="shared" si="4"/>
        <v>18.357487922705314</v>
      </c>
      <c r="M39" s="189">
        <f t="shared" si="5"/>
        <v>16.908212560386474</v>
      </c>
    </row>
    <row r="40" spans="1:15" ht="20.25" customHeight="1">
      <c r="A40" s="194"/>
      <c r="B40" s="181"/>
      <c r="C40" s="181"/>
      <c r="D40" s="181"/>
      <c r="E40" s="181"/>
      <c r="F40" s="181"/>
      <c r="G40" s="181"/>
      <c r="H40" s="181"/>
      <c r="I40" s="182"/>
      <c r="J40" s="183"/>
      <c r="K40" s="184"/>
      <c r="L40" s="184"/>
      <c r="M40" s="185"/>
    </row>
    <row r="41" spans="1:15" s="220" customFormat="1" ht="20.25" customHeight="1">
      <c r="A41" s="190" t="s">
        <v>849</v>
      </c>
      <c r="B41" s="181">
        <f t="shared" ref="B41:H41" si="17">B42</f>
        <v>526</v>
      </c>
      <c r="C41" s="181">
        <f t="shared" si="17"/>
        <v>287</v>
      </c>
      <c r="D41" s="181">
        <f t="shared" si="17"/>
        <v>162</v>
      </c>
      <c r="E41" s="181">
        <f t="shared" si="17"/>
        <v>0</v>
      </c>
      <c r="F41" s="181">
        <f t="shared" si="17"/>
        <v>230</v>
      </c>
      <c r="G41" s="181">
        <f t="shared" si="17"/>
        <v>122</v>
      </c>
      <c r="H41" s="181">
        <f t="shared" si="17"/>
        <v>623</v>
      </c>
      <c r="I41" s="182"/>
      <c r="J41" s="183">
        <f t="shared" si="2"/>
        <v>4.2391304347826084</v>
      </c>
      <c r="K41" s="184">
        <f t="shared" si="3"/>
        <v>63.897435897435898</v>
      </c>
      <c r="L41" s="184">
        <f t="shared" si="4"/>
        <v>23.589743589743588</v>
      </c>
      <c r="M41" s="185">
        <f t="shared" si="5"/>
        <v>12.512820512820513</v>
      </c>
      <c r="N41" s="153"/>
      <c r="O41" s="153"/>
    </row>
    <row r="42" spans="1:15" ht="20.25" customHeight="1">
      <c r="A42" s="213" t="s">
        <v>385</v>
      </c>
      <c r="B42" s="192">
        <v>526</v>
      </c>
      <c r="C42" s="192">
        <v>287</v>
      </c>
      <c r="D42" s="192">
        <v>162</v>
      </c>
      <c r="E42" s="192">
        <v>0</v>
      </c>
      <c r="F42" s="192">
        <v>230</v>
      </c>
      <c r="G42" s="192">
        <v>122</v>
      </c>
      <c r="H42" s="192">
        <v>623</v>
      </c>
      <c r="I42" s="182"/>
      <c r="J42" s="187">
        <f t="shared" si="2"/>
        <v>4.2391304347826084</v>
      </c>
      <c r="K42" s="188">
        <f t="shared" si="3"/>
        <v>63.897435897435898</v>
      </c>
      <c r="L42" s="188">
        <f t="shared" si="4"/>
        <v>23.589743589743588</v>
      </c>
      <c r="M42" s="189">
        <f t="shared" si="5"/>
        <v>12.512820512820513</v>
      </c>
    </row>
    <row r="43" spans="1:15" s="220" customFormat="1" ht="20.25" customHeight="1">
      <c r="A43" s="194"/>
      <c r="B43" s="181"/>
      <c r="C43" s="181"/>
      <c r="D43" s="181"/>
      <c r="E43" s="181"/>
      <c r="F43" s="181"/>
      <c r="G43" s="181"/>
      <c r="H43" s="181"/>
      <c r="I43" s="182"/>
      <c r="J43" s="183"/>
      <c r="K43" s="184"/>
      <c r="L43" s="184"/>
      <c r="M43" s="185"/>
      <c r="N43" s="153"/>
      <c r="O43" s="153"/>
    </row>
    <row r="44" spans="1:15" s="220" customFormat="1" ht="20.25" customHeight="1">
      <c r="A44" s="190" t="s">
        <v>857</v>
      </c>
      <c r="B44" s="181">
        <f t="shared" ref="B44:H44" si="18">B45</f>
        <v>580</v>
      </c>
      <c r="C44" s="181">
        <f t="shared" si="18"/>
        <v>373</v>
      </c>
      <c r="D44" s="181">
        <f t="shared" si="18"/>
        <v>124</v>
      </c>
      <c r="E44" s="181">
        <f t="shared" si="18"/>
        <v>0</v>
      </c>
      <c r="F44" s="181">
        <f t="shared" si="18"/>
        <v>244</v>
      </c>
      <c r="G44" s="181">
        <f t="shared" si="18"/>
        <v>119</v>
      </c>
      <c r="H44" s="181">
        <f t="shared" si="18"/>
        <v>714</v>
      </c>
      <c r="I44" s="182"/>
      <c r="J44" s="183">
        <f t="shared" si="2"/>
        <v>4.4139344262295079</v>
      </c>
      <c r="K44" s="184">
        <f t="shared" si="3"/>
        <v>66.295264623955433</v>
      </c>
      <c r="L44" s="184">
        <f t="shared" si="4"/>
        <v>22.655524605385331</v>
      </c>
      <c r="M44" s="185">
        <f t="shared" si="5"/>
        <v>11.049210770659238</v>
      </c>
      <c r="N44" s="153"/>
      <c r="O44" s="153"/>
    </row>
    <row r="45" spans="1:15" ht="20.25" customHeight="1">
      <c r="A45" s="213" t="s">
        <v>386</v>
      </c>
      <c r="B45" s="192">
        <v>580</v>
      </c>
      <c r="C45" s="192">
        <v>373</v>
      </c>
      <c r="D45" s="192">
        <v>124</v>
      </c>
      <c r="E45" s="192">
        <v>0</v>
      </c>
      <c r="F45" s="192">
        <v>244</v>
      </c>
      <c r="G45" s="192">
        <v>119</v>
      </c>
      <c r="H45" s="192">
        <v>714</v>
      </c>
      <c r="I45" s="182"/>
      <c r="J45" s="187">
        <f t="shared" si="2"/>
        <v>4.4139344262295079</v>
      </c>
      <c r="K45" s="188">
        <f t="shared" si="3"/>
        <v>66.295264623955433</v>
      </c>
      <c r="L45" s="188">
        <f t="shared" si="4"/>
        <v>22.655524605385331</v>
      </c>
      <c r="M45" s="189">
        <f t="shared" si="5"/>
        <v>11.049210770659238</v>
      </c>
    </row>
    <row r="46" spans="1:15" s="220" customFormat="1" ht="20.25" customHeight="1">
      <c r="A46" s="194"/>
      <c r="B46" s="181"/>
      <c r="C46" s="181"/>
      <c r="D46" s="181"/>
      <c r="E46" s="181"/>
      <c r="F46" s="181"/>
      <c r="G46" s="181"/>
      <c r="H46" s="181"/>
      <c r="I46" s="182"/>
      <c r="J46" s="183"/>
      <c r="K46" s="184"/>
      <c r="L46" s="184"/>
      <c r="M46" s="185"/>
      <c r="N46" s="153"/>
      <c r="O46" s="153"/>
    </row>
    <row r="47" spans="1:15" s="220" customFormat="1" ht="20.25" customHeight="1">
      <c r="A47" s="190" t="s">
        <v>860</v>
      </c>
      <c r="B47" s="181">
        <f t="shared" ref="B47:H47" si="19">B48</f>
        <v>703</v>
      </c>
      <c r="C47" s="181">
        <f t="shared" si="19"/>
        <v>291</v>
      </c>
      <c r="D47" s="181">
        <f t="shared" si="19"/>
        <v>52</v>
      </c>
      <c r="E47" s="181">
        <f t="shared" si="19"/>
        <v>1</v>
      </c>
      <c r="F47" s="181">
        <f t="shared" si="19"/>
        <v>271</v>
      </c>
      <c r="G47" s="181">
        <f t="shared" si="19"/>
        <v>57</v>
      </c>
      <c r="H47" s="181">
        <f t="shared" si="19"/>
        <v>719</v>
      </c>
      <c r="I47" s="182"/>
      <c r="J47" s="183">
        <f t="shared" si="2"/>
        <v>3.8634686346863467</v>
      </c>
      <c r="K47" s="184">
        <f t="shared" si="3"/>
        <v>68.672397325692458</v>
      </c>
      <c r="L47" s="184">
        <f t="shared" si="4"/>
        <v>25.883476599808979</v>
      </c>
      <c r="M47" s="185">
        <f t="shared" si="5"/>
        <v>5.444126074498568</v>
      </c>
      <c r="N47" s="153"/>
      <c r="O47" s="153"/>
    </row>
    <row r="48" spans="1:15" ht="20.25" customHeight="1">
      <c r="A48" s="213" t="s">
        <v>387</v>
      </c>
      <c r="B48" s="192">
        <v>703</v>
      </c>
      <c r="C48" s="192">
        <v>291</v>
      </c>
      <c r="D48" s="192">
        <v>52</v>
      </c>
      <c r="E48" s="192">
        <v>1</v>
      </c>
      <c r="F48" s="192">
        <v>271</v>
      </c>
      <c r="G48" s="192">
        <v>57</v>
      </c>
      <c r="H48" s="192">
        <v>719</v>
      </c>
      <c r="I48" s="182"/>
      <c r="J48" s="187">
        <f t="shared" si="2"/>
        <v>3.8634686346863467</v>
      </c>
      <c r="K48" s="188">
        <f t="shared" si="3"/>
        <v>68.672397325692458</v>
      </c>
      <c r="L48" s="188">
        <f t="shared" si="4"/>
        <v>25.883476599808979</v>
      </c>
      <c r="M48" s="189">
        <f t="shared" si="5"/>
        <v>5.444126074498568</v>
      </c>
    </row>
    <row r="49" spans="1:13" ht="20.25" customHeight="1">
      <c r="A49" s="217"/>
      <c r="B49" s="198"/>
      <c r="C49" s="229"/>
      <c r="D49" s="198"/>
      <c r="E49" s="199"/>
      <c r="F49" s="199"/>
      <c r="G49" s="198"/>
      <c r="H49" s="199"/>
      <c r="I49" s="171"/>
      <c r="J49" s="218"/>
      <c r="K49" s="171"/>
      <c r="L49" s="171"/>
      <c r="M49" s="217"/>
    </row>
    <row r="50" spans="1:13" ht="20.25" customHeight="1">
      <c r="A50" s="39" t="s">
        <v>1072</v>
      </c>
      <c r="B50" s="156"/>
      <c r="C50" s="156"/>
      <c r="D50" s="156"/>
      <c r="E50" s="156"/>
      <c r="F50" s="156"/>
      <c r="G50" s="156"/>
      <c r="H50" s="156"/>
    </row>
  </sheetData>
  <sheetProtection selectLockedCells="1" selectUnlockedCells="1"/>
  <mergeCells count="3">
    <mergeCell ref="A3:M3"/>
    <mergeCell ref="B5:H5"/>
    <mergeCell ref="J5:M5"/>
  </mergeCells>
  <phoneticPr fontId="0" type="noConversion"/>
  <printOptions horizontalCentered="1" verticalCentered="1"/>
  <pageMargins left="0.35972222222222222" right="0" top="0" bottom="0" header="0.51180555555555551" footer="0.51180555555555551"/>
  <pageSetup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O17"/>
  <sheetViews>
    <sheetView workbookViewId="0">
      <selection activeCell="A3" sqref="A3:M3"/>
    </sheetView>
  </sheetViews>
  <sheetFormatPr baseColWidth="10" defaultColWidth="11.44140625" defaultRowHeight="20.25" customHeight="1"/>
  <cols>
    <col min="1" max="1" width="94.44140625" style="219" bestFit="1" customWidth="1"/>
    <col min="2" max="2" width="17.33203125" style="219" customWidth="1"/>
    <col min="3" max="3" width="16.88671875" style="219" customWidth="1"/>
    <col min="4" max="5" width="17.88671875" style="219" customWidth="1"/>
    <col min="6" max="6" width="16.33203125" style="219" customWidth="1"/>
    <col min="7" max="7" width="19.88671875" style="219" customWidth="1"/>
    <col min="8" max="8" width="16.6640625" style="219" customWidth="1"/>
    <col min="9" max="9" width="5.6640625" style="152" customWidth="1"/>
    <col min="10" max="10" width="17.5546875" style="152" customWidth="1"/>
    <col min="11" max="11" width="17.109375" style="152" customWidth="1"/>
    <col min="12" max="13" width="17.44140625" style="152" customWidth="1"/>
    <col min="14" max="15" width="11.44140625" style="152"/>
    <col min="16" max="16384" width="11.44140625" style="219"/>
  </cols>
  <sheetData>
    <row r="1" spans="1:15" ht="20.25" customHeight="1">
      <c r="A1" s="220" t="s">
        <v>388</v>
      </c>
      <c r="B1" s="230"/>
      <c r="C1" s="230"/>
      <c r="D1" s="230"/>
      <c r="E1" s="230"/>
      <c r="F1" s="230"/>
      <c r="G1" s="230"/>
      <c r="H1" s="230"/>
      <c r="I1" s="203"/>
      <c r="J1" s="154"/>
      <c r="K1" s="154"/>
      <c r="L1" s="154"/>
      <c r="M1" s="154"/>
    </row>
    <row r="2" spans="1:15" ht="20.25" customHeight="1">
      <c r="A2" s="221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</row>
    <row r="3" spans="1:15" s="220" customFormat="1" ht="20.25" customHeight="1">
      <c r="A3" s="457" t="s">
        <v>1057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153"/>
      <c r="O3" s="153"/>
    </row>
    <row r="4" spans="1:15" ht="20.25" customHeight="1">
      <c r="A4" s="222"/>
      <c r="B4" s="231"/>
      <c r="C4" s="231"/>
      <c r="D4" s="231"/>
      <c r="E4" s="231"/>
      <c r="F4" s="231"/>
      <c r="G4" s="231"/>
      <c r="H4" s="231"/>
      <c r="I4" s="160"/>
      <c r="J4" s="160"/>
      <c r="K4" s="160"/>
      <c r="L4" s="160"/>
      <c r="M4" s="160"/>
    </row>
    <row r="5" spans="1:15" ht="20.25" customHeight="1">
      <c r="A5" s="223"/>
      <c r="B5" s="460" t="s">
        <v>535</v>
      </c>
      <c r="C5" s="460"/>
      <c r="D5" s="460"/>
      <c r="E5" s="460"/>
      <c r="F5" s="460"/>
      <c r="G5" s="460"/>
      <c r="H5" s="460"/>
      <c r="I5" s="162"/>
      <c r="J5" s="459" t="s">
        <v>536</v>
      </c>
      <c r="K5" s="459"/>
      <c r="L5" s="459"/>
      <c r="M5" s="459"/>
    </row>
    <row r="6" spans="1:15" ht="20.25" customHeight="1">
      <c r="A6" s="186" t="s">
        <v>537</v>
      </c>
      <c r="B6" s="205" t="s">
        <v>538</v>
      </c>
      <c r="C6" s="164" t="s">
        <v>539</v>
      </c>
      <c r="D6" s="165" t="s">
        <v>539</v>
      </c>
      <c r="E6" s="165" t="s">
        <v>389</v>
      </c>
      <c r="F6" s="165" t="s">
        <v>539</v>
      </c>
      <c r="G6" s="165" t="s">
        <v>539</v>
      </c>
      <c r="H6" s="205" t="s">
        <v>538</v>
      </c>
      <c r="I6" s="166"/>
      <c r="J6" s="165" t="s">
        <v>541</v>
      </c>
      <c r="K6" s="165" t="s">
        <v>542</v>
      </c>
      <c r="L6" s="165" t="s">
        <v>542</v>
      </c>
      <c r="M6" s="163" t="s">
        <v>542</v>
      </c>
    </row>
    <row r="7" spans="1:15" ht="20.25" customHeight="1">
      <c r="A7" s="224"/>
      <c r="B7" s="225">
        <v>42370</v>
      </c>
      <c r="C7" s="232" t="s">
        <v>543</v>
      </c>
      <c r="D7" s="173" t="s">
        <v>544</v>
      </c>
      <c r="E7" s="173" t="s">
        <v>390</v>
      </c>
      <c r="F7" s="173" t="s">
        <v>866</v>
      </c>
      <c r="G7" s="173" t="s">
        <v>546</v>
      </c>
      <c r="H7" s="225">
        <v>42735</v>
      </c>
      <c r="I7" s="171"/>
      <c r="J7" s="173" t="s">
        <v>547</v>
      </c>
      <c r="K7" s="173" t="s">
        <v>548</v>
      </c>
      <c r="L7" s="173" t="s">
        <v>549</v>
      </c>
      <c r="M7" s="172" t="s">
        <v>550</v>
      </c>
    </row>
    <row r="8" spans="1:15" ht="20.25" customHeight="1">
      <c r="A8" s="226"/>
      <c r="B8" s="209"/>
      <c r="C8" s="227"/>
      <c r="D8" s="209"/>
      <c r="E8" s="227"/>
      <c r="F8" s="227"/>
      <c r="G8" s="208"/>
      <c r="H8" s="227"/>
      <c r="I8" s="166"/>
      <c r="J8" s="166"/>
      <c r="K8" s="166"/>
      <c r="L8" s="166"/>
      <c r="M8" s="179"/>
    </row>
    <row r="9" spans="1:15" ht="20.25" customHeight="1">
      <c r="A9" s="190" t="s">
        <v>876</v>
      </c>
      <c r="B9" s="181">
        <f t="shared" ref="B9:H9" si="0">SUM(B11,B13,B15)</f>
        <v>17740</v>
      </c>
      <c r="C9" s="181">
        <f t="shared" si="0"/>
        <v>14758</v>
      </c>
      <c r="D9" s="181">
        <f t="shared" si="0"/>
        <v>1538</v>
      </c>
      <c r="E9" s="181">
        <f t="shared" si="0"/>
        <v>2451</v>
      </c>
      <c r="F9" s="181">
        <f t="shared" si="0"/>
        <v>17662</v>
      </c>
      <c r="G9" s="181">
        <f t="shared" si="0"/>
        <v>593</v>
      </c>
      <c r="H9" s="181">
        <f t="shared" si="0"/>
        <v>18232</v>
      </c>
      <c r="I9" s="182"/>
      <c r="J9" s="183">
        <f>SUM(B9:E9)/F9</f>
        <v>2.0658475823802513</v>
      </c>
      <c r="K9" s="184">
        <f>(H9/SUM(B9:E9))*100</f>
        <v>49.968481925069206</v>
      </c>
      <c r="L9" s="184">
        <f>(F9/SUM(B9:E9))*100</f>
        <v>48.406281689368818</v>
      </c>
      <c r="M9" s="185">
        <f>(G9/SUM(B9:E9))*100</f>
        <v>1.6252363855619809</v>
      </c>
      <c r="N9" s="203"/>
    </row>
    <row r="10" spans="1:15" ht="20.25" customHeight="1">
      <c r="A10" s="186"/>
      <c r="B10" s="181"/>
      <c r="C10" s="228"/>
      <c r="D10" s="181"/>
      <c r="E10" s="233"/>
      <c r="F10" s="233"/>
      <c r="G10" s="181"/>
      <c r="H10" s="233"/>
      <c r="I10" s="182"/>
      <c r="J10" s="187"/>
      <c r="K10" s="188"/>
      <c r="L10" s="188"/>
      <c r="M10" s="189"/>
      <c r="N10" s="203"/>
    </row>
    <row r="11" spans="1:15" ht="20.25" customHeight="1">
      <c r="A11" s="234" t="s">
        <v>391</v>
      </c>
      <c r="B11" s="192">
        <v>229</v>
      </c>
      <c r="C11" s="192">
        <v>15</v>
      </c>
      <c r="D11" s="192">
        <v>185</v>
      </c>
      <c r="E11" s="192">
        <v>91</v>
      </c>
      <c r="F11" s="192">
        <v>310</v>
      </c>
      <c r="G11" s="192">
        <v>0</v>
      </c>
      <c r="H11" s="214">
        <v>210</v>
      </c>
      <c r="I11" s="182"/>
      <c r="J11" s="187">
        <f>SUM(B11:E11)/F11</f>
        <v>1.6774193548387097</v>
      </c>
      <c r="K11" s="188">
        <f>(H11/SUM(B11:E11))*100</f>
        <v>40.384615384615387</v>
      </c>
      <c r="L11" s="188">
        <f>(F11/SUM(B11:E11))*100</f>
        <v>59.615384615384613</v>
      </c>
      <c r="M11" s="189">
        <f>(G11/SUM(B11:E11))*100</f>
        <v>0</v>
      </c>
      <c r="N11" s="203"/>
    </row>
    <row r="12" spans="1:15" ht="20.25" customHeight="1">
      <c r="A12" s="234"/>
      <c r="B12" s="192"/>
      <c r="C12" s="192"/>
      <c r="D12" s="192"/>
      <c r="E12" s="192"/>
      <c r="F12" s="192"/>
      <c r="G12" s="192"/>
      <c r="H12" s="233"/>
      <c r="I12" s="182"/>
      <c r="J12" s="187"/>
      <c r="K12" s="188"/>
      <c r="L12" s="188"/>
      <c r="M12" s="189"/>
      <c r="N12" s="203"/>
    </row>
    <row r="13" spans="1:15" ht="20.25" customHeight="1">
      <c r="A13" s="234" t="s">
        <v>392</v>
      </c>
      <c r="B13" s="192">
        <v>3329</v>
      </c>
      <c r="C13" s="192">
        <v>1641</v>
      </c>
      <c r="D13" s="192">
        <v>601</v>
      </c>
      <c r="E13" s="192">
        <v>979</v>
      </c>
      <c r="F13" s="192">
        <v>2939</v>
      </c>
      <c r="G13" s="192">
        <v>21</v>
      </c>
      <c r="H13" s="214">
        <v>3590</v>
      </c>
      <c r="I13" s="182"/>
      <c r="J13" s="187">
        <f>SUM(B13:E13)/F13</f>
        <v>2.2286492004083023</v>
      </c>
      <c r="K13" s="188">
        <f>(H13/SUM(B13:E13))*100</f>
        <v>54.809160305343511</v>
      </c>
      <c r="L13" s="188">
        <f>(F13/SUM(B13:E13))*100</f>
        <v>44.87022900763359</v>
      </c>
      <c r="M13" s="189">
        <f>(G13/SUM(B13:E13))*100</f>
        <v>0.32061068702290074</v>
      </c>
      <c r="N13" s="203"/>
    </row>
    <row r="14" spans="1:15" ht="20.25" customHeight="1">
      <c r="A14" s="234"/>
      <c r="B14" s="192"/>
      <c r="C14" s="192"/>
      <c r="D14" s="192"/>
      <c r="E14" s="192"/>
      <c r="F14" s="192"/>
      <c r="G14" s="192"/>
      <c r="H14" s="233"/>
      <c r="I14" s="182"/>
      <c r="J14" s="187"/>
      <c r="K14" s="188"/>
      <c r="L14" s="188"/>
      <c r="M14" s="189"/>
      <c r="N14" s="203"/>
    </row>
    <row r="15" spans="1:15" ht="20.25" customHeight="1">
      <c r="A15" s="234" t="s">
        <v>393</v>
      </c>
      <c r="B15" s="192">
        <v>14182</v>
      </c>
      <c r="C15" s="192">
        <v>13102</v>
      </c>
      <c r="D15" s="192">
        <v>752</v>
      </c>
      <c r="E15" s="192">
        <v>1381</v>
      </c>
      <c r="F15" s="192">
        <v>14413</v>
      </c>
      <c r="G15" s="192">
        <v>572</v>
      </c>
      <c r="H15" s="214">
        <v>14432</v>
      </c>
      <c r="I15" s="182"/>
      <c r="J15" s="187">
        <f>SUM(B15:E15)/F15</f>
        <v>2.0410046485811422</v>
      </c>
      <c r="K15" s="188">
        <f>(H15/SUM(B15:E15))*100</f>
        <v>49.060067308019171</v>
      </c>
      <c r="L15" s="188">
        <f>(F15/SUM(B15:E15))*100</f>
        <v>48.995478804772752</v>
      </c>
      <c r="M15" s="189">
        <f>(G15/SUM(B15:E15))*100</f>
        <v>1.944453887208077</v>
      </c>
      <c r="N15" s="203"/>
    </row>
    <row r="16" spans="1:15" ht="20.25" customHeight="1">
      <c r="A16" s="217"/>
      <c r="B16" s="198"/>
      <c r="C16" s="229"/>
      <c r="D16" s="198"/>
      <c r="E16" s="199"/>
      <c r="F16" s="199"/>
      <c r="G16" s="198"/>
      <c r="H16" s="199"/>
      <c r="I16" s="171"/>
      <c r="J16" s="171"/>
      <c r="K16" s="171"/>
      <c r="L16" s="171"/>
      <c r="M16" s="217"/>
    </row>
    <row r="17" spans="1:8" ht="20.25" customHeight="1">
      <c r="A17" s="39" t="s">
        <v>1072</v>
      </c>
      <c r="B17" s="156"/>
      <c r="C17" s="156"/>
      <c r="D17" s="156"/>
      <c r="E17" s="156"/>
      <c r="F17" s="156"/>
      <c r="G17" s="156"/>
      <c r="H17" s="156"/>
    </row>
  </sheetData>
  <sheetProtection selectLockedCells="1" selectUnlockedCells="1"/>
  <mergeCells count="3">
    <mergeCell ref="A3:M3"/>
    <mergeCell ref="B5:H5"/>
    <mergeCell ref="J5:M5"/>
  </mergeCells>
  <phoneticPr fontId="0" type="noConversion"/>
  <printOptions horizontalCentered="1" verticalCentered="1"/>
  <pageMargins left="0.3298611111111111" right="0.27013888888888887" top="0" bottom="0" header="0.51180555555555551" footer="0.51180555555555551"/>
  <pageSetup firstPageNumber="0" orientation="landscape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O70"/>
  <sheetViews>
    <sheetView zoomScale="85" zoomScaleNormal="85" workbookViewId="0">
      <selection activeCell="A3" sqref="A3:M3"/>
    </sheetView>
  </sheetViews>
  <sheetFormatPr baseColWidth="10" defaultColWidth="11.44140625" defaultRowHeight="20.25" customHeight="1"/>
  <cols>
    <col min="1" max="1" width="73.5546875" style="219" customWidth="1"/>
    <col min="2" max="4" width="21.33203125" style="219" customWidth="1"/>
    <col min="5" max="5" width="19.33203125" style="219" customWidth="1"/>
    <col min="6" max="6" width="21.33203125" style="219" customWidth="1"/>
    <col min="7" max="7" width="21.88671875" style="219" customWidth="1"/>
    <col min="8" max="8" width="21.33203125" style="219" customWidth="1"/>
    <col min="9" max="9" width="5.6640625" style="152" customWidth="1"/>
    <col min="10" max="13" width="18.6640625" style="152" customWidth="1"/>
    <col min="14" max="15" width="11.44140625" style="152"/>
    <col min="16" max="16384" width="11.44140625" style="219"/>
  </cols>
  <sheetData>
    <row r="1" spans="1:15" ht="20.25" customHeight="1">
      <c r="A1" s="220" t="s">
        <v>394</v>
      </c>
      <c r="B1" s="235"/>
      <c r="C1" s="235"/>
      <c r="D1" s="235"/>
      <c r="E1" s="235"/>
      <c r="F1" s="235"/>
      <c r="G1" s="235"/>
      <c r="H1" s="235"/>
    </row>
    <row r="2" spans="1:15" ht="20.25" customHeight="1">
      <c r="A2" s="156"/>
      <c r="B2" s="156"/>
      <c r="C2" s="156"/>
      <c r="D2" s="156"/>
      <c r="E2" s="156"/>
      <c r="F2" s="156"/>
      <c r="G2" s="156"/>
    </row>
    <row r="3" spans="1:15" ht="20.25" customHeight="1">
      <c r="A3" s="457" t="s">
        <v>1058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7"/>
    </row>
    <row r="4" spans="1:15" ht="20.25" customHeight="1">
      <c r="A4" s="222"/>
      <c r="B4" s="222"/>
      <c r="C4" s="222"/>
      <c r="D4" s="222"/>
      <c r="E4" s="222"/>
      <c r="F4" s="222"/>
      <c r="G4" s="222"/>
      <c r="H4" s="222"/>
      <c r="I4" s="160"/>
      <c r="J4" s="160"/>
      <c r="K4" s="160"/>
      <c r="L4" s="160"/>
      <c r="M4" s="160"/>
    </row>
    <row r="5" spans="1:15" ht="20.25" customHeight="1">
      <c r="A5" s="236" t="s">
        <v>172</v>
      </c>
      <c r="B5" s="458" t="s">
        <v>535</v>
      </c>
      <c r="C5" s="458"/>
      <c r="D5" s="458"/>
      <c r="E5" s="458"/>
      <c r="F5" s="458"/>
      <c r="G5" s="458"/>
      <c r="H5" s="458"/>
      <c r="I5" s="162"/>
      <c r="J5" s="459" t="s">
        <v>536</v>
      </c>
      <c r="K5" s="459"/>
      <c r="L5" s="459"/>
      <c r="M5" s="459"/>
    </row>
    <row r="6" spans="1:15" ht="20.25" customHeight="1">
      <c r="A6" s="186" t="s">
        <v>537</v>
      </c>
      <c r="B6" s="170" t="s">
        <v>540</v>
      </c>
      <c r="C6" s="165" t="s">
        <v>539</v>
      </c>
      <c r="D6" s="165" t="s">
        <v>1049</v>
      </c>
      <c r="E6" s="165" t="s">
        <v>539</v>
      </c>
      <c r="F6" s="165" t="s">
        <v>539</v>
      </c>
      <c r="G6" s="165" t="s">
        <v>539</v>
      </c>
      <c r="H6" s="163" t="s">
        <v>540</v>
      </c>
      <c r="I6" s="166"/>
      <c r="J6" s="163" t="s">
        <v>541</v>
      </c>
      <c r="K6" s="165" t="s">
        <v>542</v>
      </c>
      <c r="L6" s="165" t="s">
        <v>542</v>
      </c>
      <c r="M6" s="163" t="s">
        <v>542</v>
      </c>
    </row>
    <row r="7" spans="1:15" ht="20.25" customHeight="1">
      <c r="A7" s="237"/>
      <c r="B7" s="206">
        <v>42370</v>
      </c>
      <c r="C7" s="173" t="s">
        <v>543</v>
      </c>
      <c r="D7" s="415" t="s">
        <v>1050</v>
      </c>
      <c r="E7" s="169" t="s">
        <v>544</v>
      </c>
      <c r="F7" s="173" t="s">
        <v>866</v>
      </c>
      <c r="G7" s="169" t="s">
        <v>546</v>
      </c>
      <c r="H7" s="410">
        <v>42735</v>
      </c>
      <c r="I7" s="171"/>
      <c r="J7" s="172" t="s">
        <v>547</v>
      </c>
      <c r="K7" s="173" t="s">
        <v>548</v>
      </c>
      <c r="L7" s="173" t="s">
        <v>549</v>
      </c>
      <c r="M7" s="172" t="s">
        <v>550</v>
      </c>
    </row>
    <row r="8" spans="1:15" ht="20.25" customHeight="1">
      <c r="A8" s="174"/>
      <c r="B8" s="208"/>
      <c r="C8" s="238"/>
      <c r="D8" s="430"/>
      <c r="E8" s="208"/>
      <c r="F8" s="238"/>
      <c r="G8" s="210"/>
      <c r="H8" s="209"/>
      <c r="I8" s="223"/>
      <c r="J8" s="179"/>
      <c r="K8" s="162"/>
      <c r="L8" s="162"/>
      <c r="M8" s="179"/>
    </row>
    <row r="9" spans="1:15" ht="20.25" customHeight="1">
      <c r="A9" s="239" t="s">
        <v>868</v>
      </c>
      <c r="B9" s="240">
        <f t="shared" ref="B9:H9" si="0">SUM(B11,B17,B20,B24,B27,B31,B35,B39,B43,B47,B51,B55,B59,B64,B67)</f>
        <v>19483</v>
      </c>
      <c r="C9" s="240">
        <f t="shared" si="0"/>
        <v>29922</v>
      </c>
      <c r="D9" s="431">
        <f t="shared" si="0"/>
        <v>19</v>
      </c>
      <c r="E9" s="240">
        <f t="shared" si="0"/>
        <v>2407</v>
      </c>
      <c r="F9" s="240">
        <f t="shared" si="0"/>
        <v>29705</v>
      </c>
      <c r="G9" s="240">
        <f t="shared" si="0"/>
        <v>2512</v>
      </c>
      <c r="H9" s="240">
        <f t="shared" si="0"/>
        <v>19614</v>
      </c>
      <c r="I9" s="241"/>
      <c r="J9" s="183">
        <f>SUM(B9:E9)/F9</f>
        <v>1.7448577680525164</v>
      </c>
      <c r="K9" s="184">
        <f>(H9/SUM(B9:E9))*100</f>
        <v>37.842217977658159</v>
      </c>
      <c r="L9" s="184">
        <f>(F9/SUM(B9:E9))*100</f>
        <v>57.311261600200645</v>
      </c>
      <c r="M9" s="185">
        <f>(G9/SUM(B9:E9))*100</f>
        <v>4.8465204221411895</v>
      </c>
    </row>
    <row r="10" spans="1:15" ht="20.25" customHeight="1">
      <c r="A10" s="239"/>
      <c r="B10" s="240"/>
      <c r="C10" s="242"/>
      <c r="D10" s="432"/>
      <c r="E10" s="240"/>
      <c r="F10" s="242"/>
      <c r="G10" s="240"/>
      <c r="H10" s="240"/>
      <c r="I10" s="241"/>
      <c r="J10" s="187"/>
      <c r="K10" s="188"/>
      <c r="L10" s="188"/>
      <c r="M10" s="189"/>
    </row>
    <row r="11" spans="1:15" ht="20.25" customHeight="1">
      <c r="A11" s="239" t="s">
        <v>551</v>
      </c>
      <c r="B11" s="240">
        <f t="shared" ref="B11:H11" si="1">SUM(B12:B15)</f>
        <v>4550</v>
      </c>
      <c r="C11" s="240">
        <f t="shared" si="1"/>
        <v>4074</v>
      </c>
      <c r="D11" s="431">
        <f t="shared" ref="D11" si="2">SUM(D12:D15)</f>
        <v>4</v>
      </c>
      <c r="E11" s="240">
        <f t="shared" si="1"/>
        <v>324</v>
      </c>
      <c r="F11" s="240">
        <f t="shared" si="1"/>
        <v>4618</v>
      </c>
      <c r="G11" s="240">
        <f t="shared" si="1"/>
        <v>178</v>
      </c>
      <c r="H11" s="240">
        <f t="shared" si="1"/>
        <v>4156</v>
      </c>
      <c r="I11" s="241"/>
      <c r="J11" s="183">
        <f>SUM(B11:E11)/F11</f>
        <v>1.938501515807709</v>
      </c>
      <c r="K11" s="184">
        <f>(H11/SUM(B11:E11))*100</f>
        <v>46.425379803395892</v>
      </c>
      <c r="L11" s="184">
        <f>(F11/SUM(B11:E11))*100</f>
        <v>51.586237712243076</v>
      </c>
      <c r="M11" s="185">
        <f>(G11/SUM(B11:E11))*100</f>
        <v>1.9883824843610367</v>
      </c>
    </row>
    <row r="12" spans="1:15" ht="20.25" customHeight="1">
      <c r="A12" s="243" t="s">
        <v>395</v>
      </c>
      <c r="B12" s="244">
        <v>1722</v>
      </c>
      <c r="C12" s="244">
        <v>1495</v>
      </c>
      <c r="D12" s="433">
        <v>4</v>
      </c>
      <c r="E12" s="244">
        <v>95</v>
      </c>
      <c r="F12" s="244">
        <v>1647</v>
      </c>
      <c r="G12" s="244">
        <v>101</v>
      </c>
      <c r="H12" s="244">
        <v>1568</v>
      </c>
      <c r="I12" s="241"/>
      <c r="J12" s="187">
        <f>SUM(B12:E12)/F12</f>
        <v>2.0133576199149972</v>
      </c>
      <c r="K12" s="188">
        <f>(H12/SUM(B12:E12))*100</f>
        <v>47.285886610373943</v>
      </c>
      <c r="L12" s="188">
        <f>(F12/SUM(B12:E12))*100</f>
        <v>49.668275030156813</v>
      </c>
      <c r="M12" s="189">
        <f>(G12/SUM(B12:E12))*100</f>
        <v>3.04583835946924</v>
      </c>
    </row>
    <row r="13" spans="1:15" ht="20.25" customHeight="1">
      <c r="A13" s="243" t="s">
        <v>396</v>
      </c>
      <c r="B13" s="244">
        <v>2041</v>
      </c>
      <c r="C13" s="244">
        <v>1370</v>
      </c>
      <c r="D13" s="244">
        <v>0</v>
      </c>
      <c r="E13" s="244">
        <v>100</v>
      </c>
      <c r="F13" s="244">
        <v>1683</v>
      </c>
      <c r="G13" s="244">
        <v>30</v>
      </c>
      <c r="H13" s="244">
        <v>1798</v>
      </c>
      <c r="I13" s="241"/>
      <c r="J13" s="187">
        <f>SUM(B13:E13)/F13</f>
        <v>2.0861556743909686</v>
      </c>
      <c r="K13" s="188">
        <f>(H13/SUM(B13:E13))*100</f>
        <v>51.210481344346334</v>
      </c>
      <c r="L13" s="188">
        <f>(F13/SUM(B13:E13))*100</f>
        <v>47.935061236115068</v>
      </c>
      <c r="M13" s="189">
        <f>(G13/SUM(B13:E13))*100</f>
        <v>0.85445741953859311</v>
      </c>
    </row>
    <row r="14" spans="1:15" ht="20.25" customHeight="1">
      <c r="A14" s="243" t="s">
        <v>397</v>
      </c>
      <c r="B14" s="244">
        <v>604</v>
      </c>
      <c r="C14" s="244">
        <v>846</v>
      </c>
      <c r="D14" s="244">
        <v>0</v>
      </c>
      <c r="E14" s="244">
        <v>33</v>
      </c>
      <c r="F14" s="244">
        <v>895</v>
      </c>
      <c r="G14" s="244">
        <v>40</v>
      </c>
      <c r="H14" s="244">
        <v>548</v>
      </c>
      <c r="I14" s="241"/>
      <c r="J14" s="187">
        <f>SUM(B14:E14)/F14</f>
        <v>1.6569832402234637</v>
      </c>
      <c r="K14" s="188">
        <f>(H14/SUM(B14:E14))*100</f>
        <v>36.952124072825356</v>
      </c>
      <c r="L14" s="188">
        <f>(F14/SUM(B14:E14))*100</f>
        <v>60.350640593391766</v>
      </c>
      <c r="M14" s="189">
        <f>(G14/SUM(B14:E14))*100</f>
        <v>2.6972353337828725</v>
      </c>
    </row>
    <row r="15" spans="1:15" ht="20.25" customHeight="1">
      <c r="A15" s="243" t="s">
        <v>398</v>
      </c>
      <c r="B15" s="244">
        <v>183</v>
      </c>
      <c r="C15" s="244">
        <v>363</v>
      </c>
      <c r="D15" s="244">
        <v>0</v>
      </c>
      <c r="E15" s="244">
        <v>96</v>
      </c>
      <c r="F15" s="244">
        <v>393</v>
      </c>
      <c r="G15" s="244">
        <v>7</v>
      </c>
      <c r="H15" s="244">
        <v>242</v>
      </c>
      <c r="I15" s="241"/>
      <c r="J15" s="187">
        <f>SUM(B15:E15)/F15</f>
        <v>1.633587786259542</v>
      </c>
      <c r="K15" s="188">
        <f>(H15/SUM(B15:E15))*100</f>
        <v>37.694704049844233</v>
      </c>
      <c r="L15" s="188">
        <f>(F15/SUM(B15:E15))*100</f>
        <v>61.214953271028037</v>
      </c>
      <c r="M15" s="189">
        <f>(G15/SUM(B15:E15))*100</f>
        <v>1.0903426791277258</v>
      </c>
    </row>
    <row r="16" spans="1:15" s="220" customFormat="1" ht="20.25" customHeight="1">
      <c r="A16" s="243"/>
      <c r="B16" s="240"/>
      <c r="C16" s="240"/>
      <c r="D16" s="240"/>
      <c r="E16" s="240"/>
      <c r="F16" s="240"/>
      <c r="G16" s="240"/>
      <c r="H16" s="240"/>
      <c r="I16" s="241"/>
      <c r="J16" s="187"/>
      <c r="K16" s="188"/>
      <c r="L16" s="188"/>
      <c r="M16" s="189"/>
      <c r="N16" s="153"/>
      <c r="O16" s="153"/>
    </row>
    <row r="17" spans="1:15" s="220" customFormat="1" ht="20.25" customHeight="1">
      <c r="A17" s="239" t="s">
        <v>399</v>
      </c>
      <c r="B17" s="240">
        <f t="shared" ref="B17:H17" si="3">SUM(B18)</f>
        <v>1579</v>
      </c>
      <c r="C17" s="240">
        <f t="shared" si="3"/>
        <v>2839</v>
      </c>
      <c r="D17" s="240">
        <f t="shared" ref="D17" si="4">SUM(D18)</f>
        <v>0</v>
      </c>
      <c r="E17" s="240">
        <f t="shared" si="3"/>
        <v>359</v>
      </c>
      <c r="F17" s="240">
        <f t="shared" si="3"/>
        <v>2277</v>
      </c>
      <c r="G17" s="240">
        <f t="shared" si="3"/>
        <v>692</v>
      </c>
      <c r="H17" s="240">
        <f t="shared" si="3"/>
        <v>1808</v>
      </c>
      <c r="I17" s="241"/>
      <c r="J17" s="183">
        <f>SUM(B17:E17)/F17</f>
        <v>2.097935880544576</v>
      </c>
      <c r="K17" s="184">
        <f>(H17/SUM(B17:E17))*100</f>
        <v>37.848021770985973</v>
      </c>
      <c r="L17" s="184">
        <f>(F17/SUM(B17:E17))*100</f>
        <v>47.665899099853462</v>
      </c>
      <c r="M17" s="185">
        <f>(G17/SUM(B17:E17))*100</f>
        <v>14.486079129160562</v>
      </c>
      <c r="N17" s="153"/>
      <c r="O17" s="153"/>
    </row>
    <row r="18" spans="1:15" ht="20.25" customHeight="1">
      <c r="A18" s="243" t="s">
        <v>400</v>
      </c>
      <c r="B18" s="244">
        <v>1579</v>
      </c>
      <c r="C18" s="244">
        <v>2839</v>
      </c>
      <c r="D18" s="244">
        <v>0</v>
      </c>
      <c r="E18" s="244">
        <v>359</v>
      </c>
      <c r="F18" s="244">
        <v>2277</v>
      </c>
      <c r="G18" s="244">
        <v>692</v>
      </c>
      <c r="H18" s="244">
        <v>1808</v>
      </c>
      <c r="I18" s="241"/>
      <c r="J18" s="187">
        <f>SUM(B18:E18)/F18</f>
        <v>2.097935880544576</v>
      </c>
      <c r="K18" s="188">
        <f>(H18/SUM(B18:E18))*100</f>
        <v>37.848021770985973</v>
      </c>
      <c r="L18" s="188">
        <f>(F18/SUM(B18:E18))*100</f>
        <v>47.665899099853462</v>
      </c>
      <c r="M18" s="189">
        <f>(G18/SUM(B18:E18))*100</f>
        <v>14.486079129160562</v>
      </c>
    </row>
    <row r="19" spans="1:15" s="220" customFormat="1" ht="20.25" customHeight="1">
      <c r="A19" s="245"/>
      <c r="B19" s="240"/>
      <c r="C19" s="240"/>
      <c r="D19" s="240"/>
      <c r="E19" s="240"/>
      <c r="F19" s="240"/>
      <c r="G19" s="240"/>
      <c r="H19" s="240"/>
      <c r="I19" s="241"/>
      <c r="J19" s="187"/>
      <c r="K19" s="188"/>
      <c r="L19" s="188"/>
      <c r="M19" s="189"/>
      <c r="N19" s="153"/>
      <c r="O19" s="153"/>
    </row>
    <row r="20" spans="1:15" s="220" customFormat="1" ht="20.25" customHeight="1">
      <c r="A20" s="239" t="s">
        <v>271</v>
      </c>
      <c r="B20" s="240">
        <f t="shared" ref="B20:H20" si="5">SUM(B21:B22)</f>
        <v>1927</v>
      </c>
      <c r="C20" s="240">
        <f t="shared" si="5"/>
        <v>2612</v>
      </c>
      <c r="D20" s="240">
        <f t="shared" ref="D20" si="6">SUM(D21:D22)</f>
        <v>0</v>
      </c>
      <c r="E20" s="240">
        <f t="shared" si="5"/>
        <v>142</v>
      </c>
      <c r="F20" s="240">
        <f t="shared" si="5"/>
        <v>2481</v>
      </c>
      <c r="G20" s="240">
        <f t="shared" si="5"/>
        <v>173</v>
      </c>
      <c r="H20" s="240">
        <f t="shared" si="5"/>
        <v>2027</v>
      </c>
      <c r="I20" s="241"/>
      <c r="J20" s="183">
        <f>SUM(B20:E20)/F20</f>
        <v>1.8867392180572349</v>
      </c>
      <c r="K20" s="184">
        <f>(H20/SUM(B20:E20))*100</f>
        <v>43.302713095492415</v>
      </c>
      <c r="L20" s="184">
        <f>(F20/SUM(B20:E20))*100</f>
        <v>53.001495406964324</v>
      </c>
      <c r="M20" s="185">
        <f>(G20/SUM(B20:E20))*100</f>
        <v>3.6957914975432598</v>
      </c>
      <c r="N20" s="153"/>
      <c r="O20" s="153"/>
    </row>
    <row r="21" spans="1:15" ht="20.25" customHeight="1">
      <c r="A21" s="243" t="s">
        <v>401</v>
      </c>
      <c r="B21" s="244">
        <v>1162</v>
      </c>
      <c r="C21" s="244">
        <v>684</v>
      </c>
      <c r="D21" s="244">
        <v>0</v>
      </c>
      <c r="E21" s="244">
        <v>2</v>
      </c>
      <c r="F21" s="244">
        <v>552</v>
      </c>
      <c r="G21" s="244">
        <v>32</v>
      </c>
      <c r="H21" s="244">
        <v>1264</v>
      </c>
      <c r="I21" s="241"/>
      <c r="J21" s="187">
        <f>SUM(B21:E21)/F21</f>
        <v>3.347826086956522</v>
      </c>
      <c r="K21" s="188">
        <f>(H21/SUM(B21:E21))*100</f>
        <v>68.398268398268399</v>
      </c>
      <c r="L21" s="188">
        <f>(F21/SUM(B21:E21))*100</f>
        <v>29.870129870129869</v>
      </c>
      <c r="M21" s="189">
        <f>(G21/SUM(B21:E21))*100</f>
        <v>1.7316017316017316</v>
      </c>
    </row>
    <row r="22" spans="1:15" ht="20.25" customHeight="1">
      <c r="A22" s="243" t="s">
        <v>931</v>
      </c>
      <c r="B22" s="244">
        <v>765</v>
      </c>
      <c r="C22" s="244">
        <v>1928</v>
      </c>
      <c r="D22" s="244">
        <v>0</v>
      </c>
      <c r="E22" s="244">
        <v>140</v>
      </c>
      <c r="F22" s="244">
        <v>1929</v>
      </c>
      <c r="G22" s="244">
        <v>141</v>
      </c>
      <c r="H22" s="244">
        <v>763</v>
      </c>
      <c r="I22" s="241"/>
      <c r="J22" s="187">
        <f>SUM(B22:E22)/F22</f>
        <v>1.4686365992742354</v>
      </c>
      <c r="K22" s="188">
        <f>(H22/SUM(B22:E22))*100</f>
        <v>26.932580303565125</v>
      </c>
      <c r="L22" s="188">
        <f>(F22/SUM(B22:E22))*100</f>
        <v>68.09036357218497</v>
      </c>
      <c r="M22" s="189">
        <f>(G22/SUM(B22:E22))*100</f>
        <v>4.9770561242499118</v>
      </c>
    </row>
    <row r="23" spans="1:15" ht="20.25" customHeight="1">
      <c r="A23" s="243"/>
      <c r="B23" s="240"/>
      <c r="C23" s="240"/>
      <c r="D23" s="240"/>
      <c r="E23" s="240"/>
      <c r="F23" s="240"/>
      <c r="G23" s="240"/>
      <c r="H23" s="240"/>
      <c r="I23" s="241"/>
      <c r="J23" s="187"/>
      <c r="K23" s="188"/>
      <c r="L23" s="188"/>
      <c r="M23" s="189"/>
    </row>
    <row r="24" spans="1:15" s="220" customFormat="1" ht="20.25" customHeight="1">
      <c r="A24" s="239" t="s">
        <v>280</v>
      </c>
      <c r="B24" s="240">
        <f t="shared" ref="B24:H24" si="7">SUM(B25)</f>
        <v>1230</v>
      </c>
      <c r="C24" s="240">
        <f t="shared" si="7"/>
        <v>2503</v>
      </c>
      <c r="D24" s="240">
        <f t="shared" ref="D24" si="8">SUM(D25)</f>
        <v>0</v>
      </c>
      <c r="E24" s="240">
        <f t="shared" si="7"/>
        <v>104</v>
      </c>
      <c r="F24" s="240">
        <f t="shared" si="7"/>
        <v>2034</v>
      </c>
      <c r="G24" s="240">
        <f t="shared" si="7"/>
        <v>271</v>
      </c>
      <c r="H24" s="240">
        <f t="shared" si="7"/>
        <v>1532</v>
      </c>
      <c r="I24" s="241"/>
      <c r="J24" s="183">
        <f>SUM(B24:E24)/F24</f>
        <v>1.8864306784660767</v>
      </c>
      <c r="K24" s="184">
        <f>(H24/SUM(B24:E24))*100</f>
        <v>39.927026322647905</v>
      </c>
      <c r="L24" s="184">
        <f>(F24/SUM(B24:E24))*100</f>
        <v>53.010164190774049</v>
      </c>
      <c r="M24" s="185">
        <f>(G24/SUM(B24:E24))*100</f>
        <v>7.0628094865780557</v>
      </c>
      <c r="N24" s="153"/>
      <c r="O24" s="153"/>
    </row>
    <row r="25" spans="1:15" ht="20.25" customHeight="1">
      <c r="A25" s="243" t="s">
        <v>402</v>
      </c>
      <c r="B25" s="244">
        <v>1230</v>
      </c>
      <c r="C25" s="244">
        <v>2503</v>
      </c>
      <c r="D25" s="244">
        <v>0</v>
      </c>
      <c r="E25" s="244">
        <v>104</v>
      </c>
      <c r="F25" s="244">
        <v>2034</v>
      </c>
      <c r="G25" s="244">
        <v>271</v>
      </c>
      <c r="H25" s="244">
        <v>1532</v>
      </c>
      <c r="I25" s="241"/>
      <c r="J25" s="187">
        <f>SUM(B25:E25)/F25</f>
        <v>1.8864306784660767</v>
      </c>
      <c r="K25" s="188">
        <f>(H25/SUM(B25:E25))*100</f>
        <v>39.927026322647905</v>
      </c>
      <c r="L25" s="188">
        <f>(F25/SUM(B25:E25))*100</f>
        <v>53.010164190774049</v>
      </c>
      <c r="M25" s="189">
        <f>(G25/SUM(B25:E25))*100</f>
        <v>7.0628094865780557</v>
      </c>
    </row>
    <row r="26" spans="1:15" s="220" customFormat="1" ht="20.25" customHeight="1">
      <c r="A26" s="243"/>
      <c r="B26" s="240"/>
      <c r="C26" s="240"/>
      <c r="D26" s="240"/>
      <c r="E26" s="240"/>
      <c r="F26" s="240"/>
      <c r="G26" s="240"/>
      <c r="H26" s="240"/>
      <c r="I26" s="241"/>
      <c r="J26" s="187"/>
      <c r="K26" s="188"/>
      <c r="L26" s="188"/>
      <c r="M26" s="189"/>
      <c r="N26" s="153"/>
      <c r="O26" s="153"/>
    </row>
    <row r="27" spans="1:15" s="220" customFormat="1" ht="20.25" customHeight="1">
      <c r="A27" s="239" t="s">
        <v>287</v>
      </c>
      <c r="B27" s="240">
        <f t="shared" ref="B27:H27" si="9">SUM(B28:B29)</f>
        <v>767</v>
      </c>
      <c r="C27" s="240">
        <f t="shared" si="9"/>
        <v>1474</v>
      </c>
      <c r="D27" s="240">
        <f t="shared" ref="D27" si="10">SUM(D28:D29)</f>
        <v>4</v>
      </c>
      <c r="E27" s="240">
        <f t="shared" si="9"/>
        <v>189</v>
      </c>
      <c r="F27" s="240">
        <f t="shared" si="9"/>
        <v>1464</v>
      </c>
      <c r="G27" s="240">
        <f t="shared" si="9"/>
        <v>172</v>
      </c>
      <c r="H27" s="240">
        <f t="shared" si="9"/>
        <v>798</v>
      </c>
      <c r="I27" s="241"/>
      <c r="J27" s="183">
        <f>SUM(B27:E27)/F27</f>
        <v>1.6625683060109289</v>
      </c>
      <c r="K27" s="184">
        <f>(H27/SUM(B27:E27))*100</f>
        <v>32.785538208709944</v>
      </c>
      <c r="L27" s="184">
        <f>(F27/SUM(B27:E27))*100</f>
        <v>60.147904683648314</v>
      </c>
      <c r="M27" s="185">
        <f>(G27/SUM(B27:E27))*100</f>
        <v>7.0665571076417422</v>
      </c>
      <c r="N27" s="153"/>
      <c r="O27" s="153"/>
    </row>
    <row r="28" spans="1:15" ht="20.25" customHeight="1">
      <c r="A28" s="243" t="s">
        <v>932</v>
      </c>
      <c r="B28" s="244">
        <v>518</v>
      </c>
      <c r="C28" s="244">
        <v>1203</v>
      </c>
      <c r="D28" s="244">
        <v>4</v>
      </c>
      <c r="E28" s="244">
        <v>129</v>
      </c>
      <c r="F28" s="244">
        <v>1256</v>
      </c>
      <c r="G28" s="244">
        <v>171</v>
      </c>
      <c r="H28" s="244">
        <v>427</v>
      </c>
      <c r="I28" s="241"/>
      <c r="J28" s="187">
        <f>SUM(B28:E28)/F28</f>
        <v>1.4761146496815287</v>
      </c>
      <c r="K28" s="188">
        <f>(H28/SUM(B28:E28))*100</f>
        <v>23.031283710895362</v>
      </c>
      <c r="L28" s="188">
        <f>(F28/SUM(B28:E28))*100</f>
        <v>67.745415318230854</v>
      </c>
      <c r="M28" s="189">
        <f>(G28/SUM(B28:E28))*100</f>
        <v>9.2233009708737868</v>
      </c>
    </row>
    <row r="29" spans="1:15" ht="20.25" customHeight="1">
      <c r="A29" s="243" t="s">
        <v>933</v>
      </c>
      <c r="B29" s="244">
        <v>249</v>
      </c>
      <c r="C29" s="244">
        <v>271</v>
      </c>
      <c r="D29" s="244">
        <v>0</v>
      </c>
      <c r="E29" s="244">
        <v>60</v>
      </c>
      <c r="F29" s="244">
        <v>208</v>
      </c>
      <c r="G29" s="244">
        <v>1</v>
      </c>
      <c r="H29" s="244">
        <v>371</v>
      </c>
      <c r="I29" s="241"/>
      <c r="J29" s="187">
        <f>SUM(B29:E29)/F29</f>
        <v>2.7884615384615383</v>
      </c>
      <c r="K29" s="188">
        <f>(H29/SUM(B29:E29))*100</f>
        <v>63.96551724137931</v>
      </c>
      <c r="L29" s="188">
        <f>(F29/SUM(B29:E29))*100</f>
        <v>35.862068965517238</v>
      </c>
      <c r="M29" s="189">
        <f>(G29/SUM(B29:E29))*100</f>
        <v>0.17241379310344829</v>
      </c>
    </row>
    <row r="30" spans="1:15" s="220" customFormat="1" ht="20.25" customHeight="1">
      <c r="A30" s="243"/>
      <c r="B30" s="240"/>
      <c r="C30" s="240"/>
      <c r="D30" s="240"/>
      <c r="E30" s="240"/>
      <c r="F30" s="240"/>
      <c r="G30" s="240"/>
      <c r="H30" s="240"/>
      <c r="I30" s="241"/>
      <c r="J30" s="187"/>
      <c r="K30" s="188"/>
      <c r="L30" s="188"/>
      <c r="M30" s="189"/>
      <c r="N30" s="153"/>
      <c r="O30" s="153"/>
    </row>
    <row r="31" spans="1:15" s="220" customFormat="1" ht="20.25" customHeight="1">
      <c r="A31" s="239" t="s">
        <v>294</v>
      </c>
      <c r="B31" s="240">
        <f t="shared" ref="B31:H31" si="11">SUM(B32:B33)</f>
        <v>854</v>
      </c>
      <c r="C31" s="240">
        <f t="shared" si="11"/>
        <v>1697</v>
      </c>
      <c r="D31" s="240">
        <f t="shared" ref="D31" si="12">SUM(D32:D33)</f>
        <v>0</v>
      </c>
      <c r="E31" s="240">
        <f t="shared" si="11"/>
        <v>150</v>
      </c>
      <c r="F31" s="240">
        <f t="shared" si="11"/>
        <v>1740</v>
      </c>
      <c r="G31" s="240">
        <f t="shared" si="11"/>
        <v>113</v>
      </c>
      <c r="H31" s="240">
        <f t="shared" si="11"/>
        <v>848</v>
      </c>
      <c r="I31" s="241"/>
      <c r="J31" s="183">
        <f>SUM(B31:E31)/F31</f>
        <v>1.5522988505747126</v>
      </c>
      <c r="K31" s="184">
        <f>(H31/SUM(B31:E31))*100</f>
        <v>31.39577934098482</v>
      </c>
      <c r="L31" s="184">
        <f>(F31/SUM(B31:E31))*100</f>
        <v>64.420584968530164</v>
      </c>
      <c r="M31" s="185">
        <f>(G31/SUM(B31:E31))*100</f>
        <v>4.1836356904850058</v>
      </c>
      <c r="N31" s="153"/>
      <c r="O31" s="153"/>
    </row>
    <row r="32" spans="1:15" ht="20.25" customHeight="1">
      <c r="A32" s="243" t="s">
        <v>403</v>
      </c>
      <c r="B32" s="244">
        <v>346</v>
      </c>
      <c r="C32" s="244">
        <v>946</v>
      </c>
      <c r="D32" s="244">
        <v>0</v>
      </c>
      <c r="E32" s="244">
        <v>45</v>
      </c>
      <c r="F32" s="244">
        <v>1013</v>
      </c>
      <c r="G32" s="244">
        <v>48</v>
      </c>
      <c r="H32" s="244">
        <v>276</v>
      </c>
      <c r="I32" s="241"/>
      <c r="J32" s="187">
        <f>SUM(B32:E32)/F32</f>
        <v>1.319842053307009</v>
      </c>
      <c r="K32" s="188">
        <f>(H32/SUM(B32:E32))*100</f>
        <v>20.643231114435302</v>
      </c>
      <c r="L32" s="188">
        <f>(F32/SUM(B32:E32))*100</f>
        <v>75.76664173522812</v>
      </c>
      <c r="M32" s="189">
        <f>(G32/SUM(B32:E32))*100</f>
        <v>3.5901271503365741</v>
      </c>
    </row>
    <row r="33" spans="1:15" ht="20.25" customHeight="1">
      <c r="A33" s="243" t="s">
        <v>934</v>
      </c>
      <c r="B33" s="244">
        <v>508</v>
      </c>
      <c r="C33" s="244">
        <v>751</v>
      </c>
      <c r="D33" s="244">
        <v>0</v>
      </c>
      <c r="E33" s="244">
        <v>105</v>
      </c>
      <c r="F33" s="244">
        <v>727</v>
      </c>
      <c r="G33" s="244">
        <v>65</v>
      </c>
      <c r="H33" s="244">
        <v>572</v>
      </c>
      <c r="I33" s="241"/>
      <c r="J33" s="187">
        <f>SUM(B33:E33)/F33</f>
        <v>1.876203576341128</v>
      </c>
      <c r="K33" s="188">
        <f>(H33/SUM(B33:E33))*100</f>
        <v>41.935483870967744</v>
      </c>
      <c r="L33" s="188">
        <f>(F33/SUM(B33:E33))*100</f>
        <v>53.299120234604104</v>
      </c>
      <c r="M33" s="189">
        <f>(G33/SUM(B33:E33))*100</f>
        <v>4.7653958944281527</v>
      </c>
    </row>
    <row r="34" spans="1:15" s="220" customFormat="1" ht="20.25" customHeight="1">
      <c r="A34" s="243"/>
      <c r="B34" s="240"/>
      <c r="C34" s="240"/>
      <c r="D34" s="240"/>
      <c r="E34" s="240"/>
      <c r="F34" s="240"/>
      <c r="G34" s="240"/>
      <c r="H34" s="240"/>
      <c r="I34" s="241"/>
      <c r="J34" s="187"/>
      <c r="K34" s="188"/>
      <c r="L34" s="188"/>
      <c r="M34" s="189"/>
      <c r="N34" s="153"/>
      <c r="O34" s="153"/>
    </row>
    <row r="35" spans="1:15" ht="20.25" customHeight="1">
      <c r="A35" s="239" t="s">
        <v>303</v>
      </c>
      <c r="B35" s="240">
        <f t="shared" ref="B35:H35" si="13">SUM(B36:B37)</f>
        <v>1686</v>
      </c>
      <c r="C35" s="240">
        <f t="shared" si="13"/>
        <v>3676</v>
      </c>
      <c r="D35" s="240">
        <f t="shared" ref="D35" si="14">SUM(D36:D37)</f>
        <v>2</v>
      </c>
      <c r="E35" s="240">
        <f t="shared" si="13"/>
        <v>100</v>
      </c>
      <c r="F35" s="240">
        <f t="shared" si="13"/>
        <v>3678</v>
      </c>
      <c r="G35" s="240">
        <f t="shared" si="13"/>
        <v>89</v>
      </c>
      <c r="H35" s="240">
        <f t="shared" si="13"/>
        <v>1697</v>
      </c>
      <c r="I35" s="241"/>
      <c r="J35" s="183">
        <f>SUM(B35:E35)/F35</f>
        <v>1.4855899945622622</v>
      </c>
      <c r="K35" s="184">
        <f>(H35/SUM(B35:E35))*100</f>
        <v>31.05783308931186</v>
      </c>
      <c r="L35" s="184">
        <f>(F35/SUM(B35:E35))*100</f>
        <v>67.313323572474388</v>
      </c>
      <c r="M35" s="185">
        <f>(G35/SUM(B35:E35))*100</f>
        <v>1.6288433382137628</v>
      </c>
    </row>
    <row r="36" spans="1:15" ht="20.25" customHeight="1">
      <c r="A36" s="243" t="s">
        <v>404</v>
      </c>
      <c r="B36" s="244">
        <v>1412</v>
      </c>
      <c r="C36" s="244">
        <v>3107</v>
      </c>
      <c r="D36" s="244">
        <v>0</v>
      </c>
      <c r="E36" s="244">
        <v>81</v>
      </c>
      <c r="F36" s="244">
        <v>3079</v>
      </c>
      <c r="G36" s="244">
        <v>89</v>
      </c>
      <c r="H36" s="244">
        <v>1432</v>
      </c>
      <c r="I36" s="241"/>
      <c r="J36" s="187">
        <f>SUM(B36:E36)/F36</f>
        <v>1.4939915556999026</v>
      </c>
      <c r="K36" s="188">
        <f>(H36/SUM(B36:E36))*100</f>
        <v>31.130434782608695</v>
      </c>
      <c r="L36" s="188">
        <f>(F36/SUM(B36:E36))*100</f>
        <v>66.934782608695656</v>
      </c>
      <c r="M36" s="189">
        <f>(G36/SUM(B36:E36))*100</f>
        <v>1.9347826086956521</v>
      </c>
    </row>
    <row r="37" spans="1:15" ht="20.25" customHeight="1">
      <c r="A37" s="243" t="s">
        <v>405</v>
      </c>
      <c r="B37" s="244">
        <v>274</v>
      </c>
      <c r="C37" s="244">
        <v>569</v>
      </c>
      <c r="D37" s="244">
        <v>2</v>
      </c>
      <c r="E37" s="244">
        <v>19</v>
      </c>
      <c r="F37" s="244">
        <v>599</v>
      </c>
      <c r="G37" s="244">
        <v>0</v>
      </c>
      <c r="H37" s="244">
        <v>265</v>
      </c>
      <c r="I37" s="241"/>
      <c r="J37" s="187">
        <f>SUM(B37:E37)/F37</f>
        <v>1.4424040066777963</v>
      </c>
      <c r="K37" s="188">
        <f>(H37/SUM(B37:E37))*100</f>
        <v>30.671296296296298</v>
      </c>
      <c r="L37" s="188">
        <f>(F37/SUM(B37:E37))*100</f>
        <v>69.328703703703709</v>
      </c>
      <c r="M37" s="189">
        <f>(G37/SUM(B37:E37))*100</f>
        <v>0</v>
      </c>
    </row>
    <row r="38" spans="1:15" s="220" customFormat="1" ht="20.25" customHeight="1">
      <c r="A38" s="243"/>
      <c r="B38" s="240"/>
      <c r="C38" s="240"/>
      <c r="D38" s="240"/>
      <c r="E38" s="240"/>
      <c r="F38" s="240"/>
      <c r="G38" s="240"/>
      <c r="H38" s="240"/>
      <c r="I38" s="241"/>
      <c r="J38" s="187"/>
      <c r="K38" s="188"/>
      <c r="L38" s="188"/>
      <c r="M38" s="189"/>
      <c r="N38" s="153"/>
      <c r="O38" s="153"/>
    </row>
    <row r="39" spans="1:15" s="220" customFormat="1" ht="20.25" customHeight="1">
      <c r="A39" s="239" t="s">
        <v>812</v>
      </c>
      <c r="B39" s="240">
        <f t="shared" ref="B39:H39" si="15">SUM(B40:B41)</f>
        <v>2524</v>
      </c>
      <c r="C39" s="240">
        <f t="shared" si="15"/>
        <v>3111</v>
      </c>
      <c r="D39" s="240">
        <f t="shared" ref="D39" si="16">SUM(D40:D41)</f>
        <v>4</v>
      </c>
      <c r="E39" s="240">
        <f t="shared" si="15"/>
        <v>224</v>
      </c>
      <c r="F39" s="240">
        <f t="shared" si="15"/>
        <v>3511</v>
      </c>
      <c r="G39" s="240">
        <f t="shared" si="15"/>
        <v>110</v>
      </c>
      <c r="H39" s="240">
        <f t="shared" si="15"/>
        <v>2242</v>
      </c>
      <c r="I39" s="241"/>
      <c r="J39" s="183">
        <f>SUM(B39:E39)/F39</f>
        <v>1.6698946169182569</v>
      </c>
      <c r="K39" s="184">
        <f>(H39/SUM(B39:E39))*100</f>
        <v>38.23980897151629</v>
      </c>
      <c r="L39" s="184">
        <f>(F39/SUM(B39:E39))*100</f>
        <v>59.884018420603788</v>
      </c>
      <c r="M39" s="185">
        <f>(G39/SUM(B39:E39))*100</f>
        <v>1.876172607879925</v>
      </c>
      <c r="N39" s="153"/>
      <c r="O39" s="153"/>
    </row>
    <row r="40" spans="1:15" ht="20.25" customHeight="1">
      <c r="A40" s="243" t="s">
        <v>406</v>
      </c>
      <c r="B40" s="244">
        <v>2248</v>
      </c>
      <c r="C40" s="244">
        <v>2790</v>
      </c>
      <c r="D40" s="244">
        <v>0</v>
      </c>
      <c r="E40" s="244">
        <v>199</v>
      </c>
      <c r="F40" s="244">
        <v>3087</v>
      </c>
      <c r="G40" s="244">
        <v>91</v>
      </c>
      <c r="H40" s="244">
        <v>2059</v>
      </c>
      <c r="I40" s="241"/>
      <c r="J40" s="187">
        <f>SUM(B40:E40)/F40</f>
        <v>1.6964690638160025</v>
      </c>
      <c r="K40" s="188">
        <f>(H40/SUM(B40:E40))*100</f>
        <v>39.316402520527021</v>
      </c>
      <c r="L40" s="188">
        <f>(F40/SUM(B40:E40))*100</f>
        <v>58.945961428298645</v>
      </c>
      <c r="M40" s="189">
        <f>(G40/SUM(B40:E40))*100</f>
        <v>1.7376360511743363</v>
      </c>
    </row>
    <row r="41" spans="1:15" ht="20.25" customHeight="1">
      <c r="A41" s="243" t="s">
        <v>935</v>
      </c>
      <c r="B41" s="244">
        <v>276</v>
      </c>
      <c r="C41" s="244">
        <v>321</v>
      </c>
      <c r="D41" s="244">
        <v>4</v>
      </c>
      <c r="E41" s="244">
        <v>25</v>
      </c>
      <c r="F41" s="244">
        <v>424</v>
      </c>
      <c r="G41" s="244">
        <v>19</v>
      </c>
      <c r="H41" s="244">
        <v>183</v>
      </c>
      <c r="I41" s="241"/>
      <c r="J41" s="187">
        <f>SUM(B41:E41)/F41</f>
        <v>1.4764150943396226</v>
      </c>
      <c r="K41" s="188">
        <f>(H41/SUM(B41:E41))*100</f>
        <v>29.233226837060705</v>
      </c>
      <c r="L41" s="188">
        <f>(F41/SUM(B41:E41))*100</f>
        <v>67.731629392971243</v>
      </c>
      <c r="M41" s="189">
        <f>(G41/SUM(B41:E41))*100</f>
        <v>3.0351437699680508</v>
      </c>
    </row>
    <row r="42" spans="1:15" s="220" customFormat="1" ht="20.25" customHeight="1">
      <c r="A42" s="243"/>
      <c r="B42" s="240"/>
      <c r="C42" s="240"/>
      <c r="D42" s="240"/>
      <c r="E42" s="240"/>
      <c r="F42" s="240"/>
      <c r="G42" s="240"/>
      <c r="H42" s="240"/>
      <c r="I42" s="241"/>
      <c r="J42" s="187"/>
      <c r="K42" s="188"/>
      <c r="L42" s="188"/>
      <c r="M42" s="189"/>
      <c r="N42" s="153"/>
      <c r="O42" s="153"/>
    </row>
    <row r="43" spans="1:15" s="220" customFormat="1" ht="20.25" customHeight="1">
      <c r="A43" s="239" t="s">
        <v>820</v>
      </c>
      <c r="B43" s="240">
        <f t="shared" ref="B43:H43" si="17">SUM(B44:B45)</f>
        <v>384</v>
      </c>
      <c r="C43" s="240">
        <f t="shared" si="17"/>
        <v>1135</v>
      </c>
      <c r="D43" s="240">
        <f t="shared" ref="D43" si="18">SUM(D44:D45)</f>
        <v>0</v>
      </c>
      <c r="E43" s="240">
        <f t="shared" si="17"/>
        <v>46</v>
      </c>
      <c r="F43" s="240">
        <f t="shared" si="17"/>
        <v>1237</v>
      </c>
      <c r="G43" s="240">
        <f t="shared" si="17"/>
        <v>56</v>
      </c>
      <c r="H43" s="240">
        <f t="shared" si="17"/>
        <v>272</v>
      </c>
      <c r="I43" s="241"/>
      <c r="J43" s="183">
        <f>SUM(B43:E43)/F43</f>
        <v>1.265157639450283</v>
      </c>
      <c r="K43" s="184">
        <f>(H43/SUM(B43:E43))*100</f>
        <v>17.380191693290733</v>
      </c>
      <c r="L43" s="184">
        <f>(F43/SUM(B43:E43))*100</f>
        <v>79.04153354632588</v>
      </c>
      <c r="M43" s="185">
        <f>(G43/SUM(B43:E43))*100</f>
        <v>3.5782747603833869</v>
      </c>
      <c r="N43" s="153"/>
      <c r="O43" s="153"/>
    </row>
    <row r="44" spans="1:15" ht="20.25" customHeight="1">
      <c r="A44" s="243" t="s">
        <v>936</v>
      </c>
      <c r="B44" s="244">
        <v>198</v>
      </c>
      <c r="C44" s="244">
        <v>817</v>
      </c>
      <c r="D44" s="244">
        <v>0</v>
      </c>
      <c r="E44" s="244">
        <v>18</v>
      </c>
      <c r="F44" s="244">
        <v>841</v>
      </c>
      <c r="G44" s="244">
        <v>30</v>
      </c>
      <c r="H44" s="244">
        <v>162</v>
      </c>
      <c r="I44" s="241"/>
      <c r="J44" s="187">
        <f>SUM(B44:E44)/F44</f>
        <v>1.2282996432818074</v>
      </c>
      <c r="K44" s="188">
        <f>(H44/SUM(B44:E44))*100</f>
        <v>15.682478218780252</v>
      </c>
      <c r="L44" s="188">
        <f>(F44/SUM(B44:E44))*100</f>
        <v>81.413359148112292</v>
      </c>
      <c r="M44" s="189">
        <f>(G44/SUM(B44:E44))*100</f>
        <v>2.9041626331074539</v>
      </c>
    </row>
    <row r="45" spans="1:15" ht="20.25" customHeight="1">
      <c r="A45" s="243" t="s">
        <v>937</v>
      </c>
      <c r="B45" s="244">
        <v>186</v>
      </c>
      <c r="C45" s="244">
        <v>318</v>
      </c>
      <c r="D45" s="244">
        <v>0</v>
      </c>
      <c r="E45" s="244">
        <v>28</v>
      </c>
      <c r="F45" s="244">
        <v>396</v>
      </c>
      <c r="G45" s="244">
        <v>26</v>
      </c>
      <c r="H45" s="244">
        <v>110</v>
      </c>
      <c r="I45" s="241"/>
      <c r="J45" s="187">
        <f>SUM(B45:E45)/F45</f>
        <v>1.3434343434343434</v>
      </c>
      <c r="K45" s="188">
        <f>(H45/SUM(B45:E45))*100</f>
        <v>20.676691729323306</v>
      </c>
      <c r="L45" s="188">
        <f>(F45/SUM(B45:E45))*100</f>
        <v>74.436090225563916</v>
      </c>
      <c r="M45" s="189">
        <f>(G45/SUM(B45:E45))*100</f>
        <v>4.8872180451127818</v>
      </c>
    </row>
    <row r="46" spans="1:15" s="220" customFormat="1" ht="20.25" customHeight="1">
      <c r="A46" s="243"/>
      <c r="B46" s="240"/>
      <c r="C46" s="240"/>
      <c r="D46" s="240"/>
      <c r="E46" s="240"/>
      <c r="F46" s="240"/>
      <c r="G46" s="240"/>
      <c r="H46" s="240"/>
      <c r="I46" s="241"/>
      <c r="J46" s="187"/>
      <c r="K46" s="188"/>
      <c r="L46" s="188"/>
      <c r="M46" s="189"/>
      <c r="N46" s="153"/>
      <c r="O46" s="153"/>
    </row>
    <row r="47" spans="1:15" s="220" customFormat="1" ht="20.25" customHeight="1">
      <c r="A47" s="239" t="s">
        <v>829</v>
      </c>
      <c r="B47" s="240">
        <f t="shared" ref="B47:H47" si="19">SUM(B48:B49)</f>
        <v>748</v>
      </c>
      <c r="C47" s="240">
        <f t="shared" si="19"/>
        <v>787</v>
      </c>
      <c r="D47" s="240">
        <f t="shared" ref="D47" si="20">SUM(D48:D49)</f>
        <v>2</v>
      </c>
      <c r="E47" s="240">
        <f t="shared" si="19"/>
        <v>49</v>
      </c>
      <c r="F47" s="240">
        <f t="shared" si="19"/>
        <v>680</v>
      </c>
      <c r="G47" s="240">
        <f t="shared" si="19"/>
        <v>45</v>
      </c>
      <c r="H47" s="240">
        <f t="shared" si="19"/>
        <v>861</v>
      </c>
      <c r="I47" s="241"/>
      <c r="J47" s="183">
        <f>SUM(B47:E47)/F47</f>
        <v>2.3323529411764707</v>
      </c>
      <c r="K47" s="184">
        <f>(H47/SUM(B47:E47))*100</f>
        <v>54.287515762925601</v>
      </c>
      <c r="L47" s="184">
        <f>(F47/SUM(B47:E47))*100</f>
        <v>42.875157629255988</v>
      </c>
      <c r="M47" s="185">
        <f>(G47/SUM(B47:E47))*100</f>
        <v>2.8373266078184112</v>
      </c>
      <c r="N47" s="153"/>
      <c r="O47" s="153"/>
    </row>
    <row r="48" spans="1:15" ht="20.25" customHeight="1">
      <c r="A48" s="243" t="s">
        <v>909</v>
      </c>
      <c r="B48" s="244">
        <v>319</v>
      </c>
      <c r="C48" s="244">
        <v>363</v>
      </c>
      <c r="D48" s="244">
        <v>2</v>
      </c>
      <c r="E48" s="244">
        <v>29</v>
      </c>
      <c r="F48" s="244">
        <v>329</v>
      </c>
      <c r="G48" s="244">
        <v>15</v>
      </c>
      <c r="H48" s="244">
        <v>369</v>
      </c>
      <c r="I48" s="241"/>
      <c r="J48" s="187">
        <f>SUM(B48:E48)/F48</f>
        <v>2.1671732522796354</v>
      </c>
      <c r="K48" s="188">
        <f>(H48/SUM(B48:E48))*100</f>
        <v>51.753155680224403</v>
      </c>
      <c r="L48" s="188">
        <f>(F48/SUM(B48:E48))*100</f>
        <v>46.143057503506313</v>
      </c>
      <c r="M48" s="189">
        <f>(G48/SUM(B48:E48))*100</f>
        <v>2.1037868162692845</v>
      </c>
    </row>
    <row r="49" spans="1:15" ht="20.25" customHeight="1">
      <c r="A49" s="243" t="s">
        <v>407</v>
      </c>
      <c r="B49" s="244">
        <v>429</v>
      </c>
      <c r="C49" s="244">
        <v>424</v>
      </c>
      <c r="D49" s="244">
        <v>0</v>
      </c>
      <c r="E49" s="244">
        <v>20</v>
      </c>
      <c r="F49" s="244">
        <v>351</v>
      </c>
      <c r="G49" s="244">
        <v>30</v>
      </c>
      <c r="H49" s="244">
        <v>492</v>
      </c>
      <c r="I49" s="195"/>
      <c r="J49" s="187">
        <f>SUM(B49:E49)/F49</f>
        <v>2.4871794871794872</v>
      </c>
      <c r="K49" s="188">
        <f>(H49/SUM(B49:E49))*100</f>
        <v>56.357388316151201</v>
      </c>
      <c r="L49" s="188">
        <f>(F49/SUM(B49:E49))*100</f>
        <v>40.206185567010309</v>
      </c>
      <c r="M49" s="189">
        <f>(G49/SUM(B49:E49))*100</f>
        <v>3.4364261168384882</v>
      </c>
    </row>
    <row r="50" spans="1:15" s="220" customFormat="1" ht="20.25" customHeight="1">
      <c r="A50" s="243"/>
      <c r="B50" s="240"/>
      <c r="C50" s="240"/>
      <c r="D50" s="240"/>
      <c r="E50" s="240"/>
      <c r="F50" s="240"/>
      <c r="G50" s="240"/>
      <c r="H50" s="240"/>
      <c r="I50" s="195"/>
      <c r="J50" s="187"/>
      <c r="K50" s="188"/>
      <c r="L50" s="188"/>
      <c r="M50" s="189"/>
      <c r="N50" s="153"/>
      <c r="O50" s="153"/>
    </row>
    <row r="51" spans="1:15" s="220" customFormat="1" ht="20.25" customHeight="1">
      <c r="A51" s="239" t="s">
        <v>836</v>
      </c>
      <c r="B51" s="240">
        <f t="shared" ref="B51:H51" si="21">SUM(B52:B53)</f>
        <v>627</v>
      </c>
      <c r="C51" s="240">
        <f t="shared" si="21"/>
        <v>1500</v>
      </c>
      <c r="D51" s="240">
        <f t="shared" ref="D51" si="22">SUM(D52:D53)</f>
        <v>0</v>
      </c>
      <c r="E51" s="240">
        <f t="shared" si="21"/>
        <v>282</v>
      </c>
      <c r="F51" s="240">
        <f t="shared" si="21"/>
        <v>1438</v>
      </c>
      <c r="G51" s="240">
        <f t="shared" si="21"/>
        <v>122</v>
      </c>
      <c r="H51" s="240">
        <f t="shared" si="21"/>
        <v>849</v>
      </c>
      <c r="I51" s="195"/>
      <c r="J51" s="183">
        <f>SUM(B51:E51)/F51</f>
        <v>1.6752433936022253</v>
      </c>
      <c r="K51" s="184">
        <f>(H51/SUM(B51:E51))*100</f>
        <v>35.242839352428398</v>
      </c>
      <c r="L51" s="184">
        <f>(F51/SUM(B51:E51))*100</f>
        <v>59.692818596928191</v>
      </c>
      <c r="M51" s="185">
        <f>(G51/SUM(B51:E51))*100</f>
        <v>5.06434205064342</v>
      </c>
      <c r="N51" s="153"/>
      <c r="O51" s="153"/>
    </row>
    <row r="52" spans="1:15" ht="20.25" customHeight="1">
      <c r="A52" s="243" t="s">
        <v>408</v>
      </c>
      <c r="B52" s="244">
        <v>410</v>
      </c>
      <c r="C52" s="244">
        <v>1240</v>
      </c>
      <c r="D52" s="244">
        <v>0</v>
      </c>
      <c r="E52" s="244">
        <v>233</v>
      </c>
      <c r="F52" s="244">
        <v>1173</v>
      </c>
      <c r="G52" s="244">
        <v>104</v>
      </c>
      <c r="H52" s="244">
        <v>606</v>
      </c>
      <c r="I52" s="195"/>
      <c r="J52" s="187">
        <f>SUM(B52:E52)/F52</f>
        <v>1.6052855924978686</v>
      </c>
      <c r="K52" s="188">
        <f>(H52/SUM(B52:E52))*100</f>
        <v>32.182687201274561</v>
      </c>
      <c r="L52" s="188">
        <f>(F52/SUM(B52:E52))*100</f>
        <v>62.294211364843335</v>
      </c>
      <c r="M52" s="189">
        <f>(G52/SUM(B52:E52))*100</f>
        <v>5.5231014338821032</v>
      </c>
    </row>
    <row r="53" spans="1:15" ht="20.25" customHeight="1">
      <c r="A53" s="243" t="s">
        <v>838</v>
      </c>
      <c r="B53" s="244">
        <v>217</v>
      </c>
      <c r="C53" s="244">
        <v>260</v>
      </c>
      <c r="D53" s="244">
        <v>0</v>
      </c>
      <c r="E53" s="244">
        <v>49</v>
      </c>
      <c r="F53" s="244">
        <v>265</v>
      </c>
      <c r="G53" s="244">
        <v>18</v>
      </c>
      <c r="H53" s="244">
        <v>243</v>
      </c>
      <c r="I53" s="195"/>
      <c r="J53" s="187">
        <f>SUM(B53:E53)/F53</f>
        <v>1.9849056603773585</v>
      </c>
      <c r="K53" s="188">
        <f>(H53/SUM(B53:E53))*100</f>
        <v>46.197718631178709</v>
      </c>
      <c r="L53" s="188">
        <f>(F53/SUM(B53:E53))*100</f>
        <v>50.380228136882131</v>
      </c>
      <c r="M53" s="189">
        <f>(G53/SUM(B53:E53))*100</f>
        <v>3.4220532319391634</v>
      </c>
    </row>
    <row r="54" spans="1:15" s="220" customFormat="1" ht="20.25" customHeight="1">
      <c r="A54" s="243"/>
      <c r="B54" s="240"/>
      <c r="C54" s="240"/>
      <c r="D54" s="240"/>
      <c r="E54" s="240"/>
      <c r="F54" s="240"/>
      <c r="G54" s="240"/>
      <c r="H54" s="240"/>
      <c r="I54" s="195"/>
      <c r="J54" s="187"/>
      <c r="K54" s="188"/>
      <c r="L54" s="188"/>
      <c r="M54" s="189"/>
      <c r="N54" s="153"/>
      <c r="O54" s="153"/>
    </row>
    <row r="55" spans="1:15" s="220" customFormat="1" ht="20.25" customHeight="1">
      <c r="A55" s="239" t="s">
        <v>845</v>
      </c>
      <c r="B55" s="240">
        <f t="shared" ref="B55:H55" si="23">SUM(B56:B57)</f>
        <v>430</v>
      </c>
      <c r="C55" s="240">
        <f t="shared" si="23"/>
        <v>1096</v>
      </c>
      <c r="D55" s="240">
        <f t="shared" ref="D55" si="24">SUM(D56:D57)</f>
        <v>3</v>
      </c>
      <c r="E55" s="240">
        <f t="shared" si="23"/>
        <v>68</v>
      </c>
      <c r="F55" s="240">
        <f t="shared" si="23"/>
        <v>1059</v>
      </c>
      <c r="G55" s="240">
        <f t="shared" si="23"/>
        <v>118</v>
      </c>
      <c r="H55" s="240">
        <f t="shared" si="23"/>
        <v>420</v>
      </c>
      <c r="I55" s="195"/>
      <c r="J55" s="183">
        <f>SUM(B55:E55)/F55</f>
        <v>1.5080264400377714</v>
      </c>
      <c r="K55" s="184">
        <f>(H55/SUM(B55:E55))*100</f>
        <v>26.29931120851597</v>
      </c>
      <c r="L55" s="184">
        <f>(F55/SUM(B55:E55))*100</f>
        <v>66.311834690043838</v>
      </c>
      <c r="M55" s="185">
        <f>(G55/SUM(B55:E55))*100</f>
        <v>7.3888541014402005</v>
      </c>
      <c r="N55" s="153"/>
      <c r="O55" s="153"/>
    </row>
    <row r="56" spans="1:15" ht="20.25" customHeight="1">
      <c r="A56" s="243" t="s">
        <v>941</v>
      </c>
      <c r="B56" s="244">
        <v>239</v>
      </c>
      <c r="C56" s="244">
        <v>863</v>
      </c>
      <c r="D56" s="244">
        <v>3</v>
      </c>
      <c r="E56" s="244">
        <v>61</v>
      </c>
      <c r="F56" s="244">
        <v>865</v>
      </c>
      <c r="G56" s="244">
        <v>70</v>
      </c>
      <c r="H56" s="244">
        <v>231</v>
      </c>
      <c r="I56" s="195"/>
      <c r="J56" s="187">
        <f>SUM(B56:E56)/F56</f>
        <v>1.3479768786127169</v>
      </c>
      <c r="K56" s="188">
        <f>(H56/SUM(B56:E56))*100</f>
        <v>19.811320754716981</v>
      </c>
      <c r="L56" s="188">
        <f>(F56/SUM(B56:E56))*100</f>
        <v>74.185248713550607</v>
      </c>
      <c r="M56" s="189">
        <f>(G56/SUM(B56:E56))*100</f>
        <v>6.0034305317324188</v>
      </c>
    </row>
    <row r="57" spans="1:15" s="400" customFormat="1" ht="20.25" customHeight="1">
      <c r="A57" s="243" t="s">
        <v>409</v>
      </c>
      <c r="B57" s="244">
        <v>191</v>
      </c>
      <c r="C57" s="244">
        <v>233</v>
      </c>
      <c r="D57" s="244">
        <v>0</v>
      </c>
      <c r="E57" s="244">
        <v>7</v>
      </c>
      <c r="F57" s="244">
        <v>194</v>
      </c>
      <c r="G57" s="244">
        <v>48</v>
      </c>
      <c r="H57" s="244">
        <v>189</v>
      </c>
      <c r="I57" s="195"/>
      <c r="J57" s="187">
        <f>SUM(B57:E57)/F57</f>
        <v>2.2216494845360826</v>
      </c>
      <c r="K57" s="188">
        <f>(H57/SUM(B57:E57))*100</f>
        <v>43.851508120649655</v>
      </c>
      <c r="L57" s="188">
        <f>(F57/SUM(B57:E57))*100</f>
        <v>45.011600928074245</v>
      </c>
      <c r="M57" s="189">
        <f>(G57/SUM(B57:E57))*100</f>
        <v>11.136890951276101</v>
      </c>
      <c r="N57" s="399"/>
      <c r="O57" s="399"/>
    </row>
    <row r="58" spans="1:15" s="220" customFormat="1" ht="20.25" customHeight="1">
      <c r="A58" s="243"/>
      <c r="B58" s="240"/>
      <c r="C58" s="240"/>
      <c r="D58" s="240"/>
      <c r="E58" s="240"/>
      <c r="F58" s="240"/>
      <c r="G58" s="240"/>
      <c r="H58" s="240"/>
      <c r="I58" s="195"/>
      <c r="J58" s="187"/>
      <c r="K58" s="188"/>
      <c r="L58" s="188"/>
      <c r="M58" s="189"/>
      <c r="N58" s="153"/>
      <c r="O58" s="153"/>
    </row>
    <row r="59" spans="1:15" s="220" customFormat="1" ht="20.25" customHeight="1">
      <c r="A59" s="239" t="s">
        <v>849</v>
      </c>
      <c r="B59" s="240">
        <f t="shared" ref="B59:H59" si="25">SUM(B60:B62)</f>
        <v>858</v>
      </c>
      <c r="C59" s="240">
        <f t="shared" si="25"/>
        <v>1039</v>
      </c>
      <c r="D59" s="240">
        <f t="shared" ref="D59" si="26">SUM(D60:D62)</f>
        <v>0</v>
      </c>
      <c r="E59" s="240">
        <f t="shared" si="25"/>
        <v>200</v>
      </c>
      <c r="F59" s="240">
        <f t="shared" si="25"/>
        <v>1200</v>
      </c>
      <c r="G59" s="240">
        <f t="shared" si="25"/>
        <v>104</v>
      </c>
      <c r="H59" s="240">
        <f t="shared" si="25"/>
        <v>793</v>
      </c>
      <c r="I59" s="195"/>
      <c r="J59" s="183">
        <f>SUM(B59:E59)/F59</f>
        <v>1.7475000000000001</v>
      </c>
      <c r="K59" s="184">
        <f>(H59/SUM(B59:E59))*100</f>
        <v>37.815927515498331</v>
      </c>
      <c r="L59" s="184">
        <f>(F59/SUM(B59:E59))*100</f>
        <v>57.224606580829764</v>
      </c>
      <c r="M59" s="185">
        <f>(G59/SUM(B59:E59))*100</f>
        <v>4.9594659036719122</v>
      </c>
      <c r="N59" s="153"/>
      <c r="O59" s="153"/>
    </row>
    <row r="60" spans="1:15" s="221" customFormat="1" ht="20.25" customHeight="1">
      <c r="A60" s="243" t="s">
        <v>940</v>
      </c>
      <c r="B60" s="244">
        <v>528</v>
      </c>
      <c r="C60" s="244">
        <v>606</v>
      </c>
      <c r="D60" s="244">
        <v>0</v>
      </c>
      <c r="E60" s="244">
        <v>149</v>
      </c>
      <c r="F60" s="244">
        <v>679</v>
      </c>
      <c r="G60" s="244">
        <v>77</v>
      </c>
      <c r="H60" s="244">
        <v>527</v>
      </c>
      <c r="I60" s="195"/>
      <c r="J60" s="187">
        <f>SUM(B60:E60)/F60</f>
        <v>1.8895434462444771</v>
      </c>
      <c r="K60" s="188">
        <f>(H60/SUM(B60:E60))*100</f>
        <v>41.075604053000781</v>
      </c>
      <c r="L60" s="188">
        <f>(F60/SUM(B60:E60))*100</f>
        <v>52.922837100545593</v>
      </c>
      <c r="M60" s="189">
        <f>(G60/SUM(B60:E60))*100</f>
        <v>6.0015588464536247</v>
      </c>
      <c r="N60" s="156"/>
      <c r="O60" s="156"/>
    </row>
    <row r="61" spans="1:15" ht="20.25" customHeight="1">
      <c r="A61" s="243" t="s">
        <v>938</v>
      </c>
      <c r="B61" s="244">
        <v>213</v>
      </c>
      <c r="C61" s="244">
        <v>233</v>
      </c>
      <c r="D61" s="244">
        <v>0</v>
      </c>
      <c r="E61" s="244">
        <v>38</v>
      </c>
      <c r="F61" s="244">
        <v>298</v>
      </c>
      <c r="G61" s="244">
        <v>18</v>
      </c>
      <c r="H61" s="244">
        <v>168</v>
      </c>
      <c r="I61" s="195"/>
      <c r="J61" s="187">
        <f>SUM(B61:E61)/F61</f>
        <v>1.6241610738255035</v>
      </c>
      <c r="K61" s="188">
        <f>(H61/SUM(B61:E61))*100</f>
        <v>34.710743801652896</v>
      </c>
      <c r="L61" s="188">
        <f>(F61/SUM(B61:E61))*100</f>
        <v>61.570247933884289</v>
      </c>
      <c r="M61" s="189">
        <f>(G61/SUM(B61:E61))*100</f>
        <v>3.71900826446281</v>
      </c>
    </row>
    <row r="62" spans="1:15" ht="20.25" customHeight="1">
      <c r="A62" s="243" t="s">
        <v>852</v>
      </c>
      <c r="B62" s="244">
        <v>117</v>
      </c>
      <c r="C62" s="244">
        <v>200</v>
      </c>
      <c r="D62" s="244">
        <v>0</v>
      </c>
      <c r="E62" s="244">
        <v>13</v>
      </c>
      <c r="F62" s="244">
        <v>223</v>
      </c>
      <c r="G62" s="244">
        <v>9</v>
      </c>
      <c r="H62" s="244">
        <v>98</v>
      </c>
      <c r="I62" s="195"/>
      <c r="J62" s="187">
        <f>SUM(B62:E62)/F62</f>
        <v>1.4798206278026906</v>
      </c>
      <c r="K62" s="188">
        <f>(H62/SUM(B62:E62))*100</f>
        <v>29.696969696969699</v>
      </c>
      <c r="L62" s="188">
        <f>(F62/SUM(B62:E62))*100</f>
        <v>67.575757575757578</v>
      </c>
      <c r="M62" s="189">
        <f>(G62/SUM(B62:E62))*100</f>
        <v>2.7272727272727271</v>
      </c>
    </row>
    <row r="63" spans="1:15" s="247" customFormat="1" ht="20.25" customHeight="1">
      <c r="A63" s="243"/>
      <c r="B63" s="240"/>
      <c r="C63" s="240"/>
      <c r="D63" s="240"/>
      <c r="E63" s="240"/>
      <c r="F63" s="240"/>
      <c r="G63" s="240"/>
      <c r="H63" s="240"/>
      <c r="I63" s="195"/>
      <c r="J63" s="187"/>
      <c r="K63" s="188"/>
      <c r="L63" s="188"/>
      <c r="M63" s="189"/>
      <c r="N63" s="246"/>
      <c r="O63" s="246"/>
    </row>
    <row r="64" spans="1:15" s="247" customFormat="1" ht="20.25" customHeight="1">
      <c r="A64" s="239" t="s">
        <v>857</v>
      </c>
      <c r="B64" s="240">
        <f t="shared" ref="B64:H64" si="27">SUM(B65)</f>
        <v>479</v>
      </c>
      <c r="C64" s="240">
        <f t="shared" si="27"/>
        <v>872</v>
      </c>
      <c r="D64" s="240">
        <f t="shared" ref="D64" si="28">SUM(D65)</f>
        <v>0</v>
      </c>
      <c r="E64" s="240">
        <f t="shared" si="27"/>
        <v>128</v>
      </c>
      <c r="F64" s="240">
        <f t="shared" si="27"/>
        <v>857</v>
      </c>
      <c r="G64" s="240">
        <f t="shared" si="27"/>
        <v>145</v>
      </c>
      <c r="H64" s="240">
        <f t="shared" si="27"/>
        <v>477</v>
      </c>
      <c r="I64" s="195"/>
      <c r="J64" s="183">
        <f>SUM(B64:E64)/F64</f>
        <v>1.7257876312718787</v>
      </c>
      <c r="K64" s="184">
        <f>(H64/SUM(B64:E64))*100</f>
        <v>32.251521298174438</v>
      </c>
      <c r="L64" s="184">
        <f>(F64/SUM(B64:E64))*100</f>
        <v>57.944557133198103</v>
      </c>
      <c r="M64" s="185">
        <f>(G64/SUM(B64:E64))*100</f>
        <v>9.8039215686274517</v>
      </c>
      <c r="N64" s="246"/>
      <c r="O64" s="246"/>
    </row>
    <row r="65" spans="1:15" s="249" customFormat="1" ht="20.25" customHeight="1">
      <c r="A65" s="243" t="s">
        <v>410</v>
      </c>
      <c r="B65" s="244">
        <v>479</v>
      </c>
      <c r="C65" s="244">
        <v>872</v>
      </c>
      <c r="D65" s="244">
        <v>0</v>
      </c>
      <c r="E65" s="244">
        <v>128</v>
      </c>
      <c r="F65" s="244">
        <v>857</v>
      </c>
      <c r="G65" s="244">
        <v>145</v>
      </c>
      <c r="H65" s="244">
        <v>477</v>
      </c>
      <c r="I65" s="195"/>
      <c r="J65" s="187">
        <f>SUM(B65:E65)/F65</f>
        <v>1.7257876312718787</v>
      </c>
      <c r="K65" s="188">
        <f>(H65/SUM(B65:E65))*100</f>
        <v>32.251521298174438</v>
      </c>
      <c r="L65" s="188">
        <f>(F65/SUM(B65:E65))*100</f>
        <v>57.944557133198103</v>
      </c>
      <c r="M65" s="189">
        <f>(G65/SUM(B65:E65))*100</f>
        <v>9.8039215686274517</v>
      </c>
      <c r="N65" s="248"/>
      <c r="O65" s="248"/>
    </row>
    <row r="66" spans="1:15" s="249" customFormat="1" ht="20.25" customHeight="1">
      <c r="A66" s="243"/>
      <c r="B66" s="240"/>
      <c r="C66" s="240"/>
      <c r="D66" s="240"/>
      <c r="E66" s="240"/>
      <c r="F66" s="240"/>
      <c r="G66" s="240"/>
      <c r="H66" s="240"/>
      <c r="I66" s="195"/>
      <c r="J66" s="187"/>
      <c r="K66" s="188"/>
      <c r="L66" s="188"/>
      <c r="M66" s="189"/>
      <c r="N66" s="248"/>
      <c r="O66" s="248"/>
    </row>
    <row r="67" spans="1:15" s="249" customFormat="1" ht="20.25" customHeight="1">
      <c r="A67" s="239" t="s">
        <v>411</v>
      </c>
      <c r="B67" s="240">
        <f t="shared" ref="B67:H67" si="29">SUM(B68)</f>
        <v>840</v>
      </c>
      <c r="C67" s="240">
        <f t="shared" si="29"/>
        <v>1507</v>
      </c>
      <c r="D67" s="240">
        <f t="shared" ref="D67" si="30">SUM(D68)</f>
        <v>0</v>
      </c>
      <c r="E67" s="240">
        <f t="shared" si="29"/>
        <v>42</v>
      </c>
      <c r="F67" s="240">
        <f t="shared" si="29"/>
        <v>1431</v>
      </c>
      <c r="G67" s="240">
        <f t="shared" si="29"/>
        <v>124</v>
      </c>
      <c r="H67" s="240">
        <f t="shared" si="29"/>
        <v>834</v>
      </c>
      <c r="I67" s="195"/>
      <c r="J67" s="183">
        <f>SUM(B67:E67)/F67</f>
        <v>1.6694619147449337</v>
      </c>
      <c r="K67" s="184">
        <f>(H67/SUM(B67:E67))*100</f>
        <v>34.910004185851825</v>
      </c>
      <c r="L67" s="184">
        <f>(F67/SUM(B67:E67))*100</f>
        <v>59.899539556299707</v>
      </c>
      <c r="M67" s="185">
        <f>(G67/SUM(B67:E67))*100</f>
        <v>5.1904562578484716</v>
      </c>
      <c r="N67" s="248"/>
      <c r="O67" s="248"/>
    </row>
    <row r="68" spans="1:15" s="249" customFormat="1" ht="20.25" customHeight="1">
      <c r="A68" s="243" t="s">
        <v>939</v>
      </c>
      <c r="B68" s="244">
        <v>840</v>
      </c>
      <c r="C68" s="244">
        <v>1507</v>
      </c>
      <c r="D68" s="244">
        <v>0</v>
      </c>
      <c r="E68" s="244">
        <v>42</v>
      </c>
      <c r="F68" s="244">
        <v>1431</v>
      </c>
      <c r="G68" s="244">
        <v>124</v>
      </c>
      <c r="H68" s="244">
        <v>834</v>
      </c>
      <c r="I68" s="195"/>
      <c r="J68" s="187">
        <f>SUM(B68:E68)/F68</f>
        <v>1.6694619147449337</v>
      </c>
      <c r="K68" s="188">
        <f>(H68/SUM(B68:E68))*100</f>
        <v>34.910004185851825</v>
      </c>
      <c r="L68" s="188">
        <f>(F68/SUM(B68:E68))*100</f>
        <v>59.899539556299707</v>
      </c>
      <c r="M68" s="189">
        <f>(G68/SUM(B68:E68))*100</f>
        <v>5.1904562578484716</v>
      </c>
      <c r="N68" s="248"/>
      <c r="O68" s="248"/>
    </row>
    <row r="69" spans="1:15" s="220" customFormat="1" ht="20.25" customHeight="1">
      <c r="A69" s="250"/>
      <c r="B69" s="198"/>
      <c r="C69" s="229"/>
      <c r="D69" s="229"/>
      <c r="E69" s="198"/>
      <c r="F69" s="229"/>
      <c r="G69" s="198"/>
      <c r="H69" s="198"/>
      <c r="I69" s="224"/>
      <c r="J69" s="218"/>
      <c r="K69" s="171"/>
      <c r="L69" s="171"/>
      <c r="M69" s="217"/>
      <c r="N69" s="153"/>
      <c r="O69" s="153"/>
    </row>
    <row r="70" spans="1:15" ht="20.25" customHeight="1">
      <c r="A70" s="39" t="s">
        <v>1072</v>
      </c>
    </row>
  </sheetData>
  <sheetProtection selectLockedCells="1" selectUnlockedCells="1"/>
  <mergeCells count="3">
    <mergeCell ref="A3:M3"/>
    <mergeCell ref="B5:H5"/>
    <mergeCell ref="J5:M5"/>
  </mergeCells>
  <phoneticPr fontId="0" type="noConversion"/>
  <printOptions horizontalCentered="1" verticalCentered="1"/>
  <pageMargins left="0.3" right="0" top="0" bottom="0" header="0.51180555555555551" footer="0.51180555555555551"/>
  <pageSetup firstPageNumber="0" orientation="portrait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B0F0"/>
  </sheetPr>
  <dimension ref="A1:M118"/>
  <sheetViews>
    <sheetView zoomScale="85" zoomScaleNormal="85" workbookViewId="0">
      <selection activeCell="A3" sqref="A3:M3"/>
    </sheetView>
  </sheetViews>
  <sheetFormatPr baseColWidth="10" defaultColWidth="11.44140625" defaultRowHeight="20.25" customHeight="1"/>
  <cols>
    <col min="1" max="1" width="110.88671875" style="219" customWidth="1"/>
    <col min="2" max="3" width="19.5546875" style="219" customWidth="1"/>
    <col min="4" max="5" width="19" style="219" customWidth="1"/>
    <col min="6" max="6" width="19.33203125" style="219" customWidth="1"/>
    <col min="7" max="7" width="23.33203125" style="219" customWidth="1"/>
    <col min="8" max="8" width="19.33203125" style="219" customWidth="1"/>
    <col min="9" max="9" width="5.6640625" style="152" customWidth="1"/>
    <col min="10" max="13" width="18.6640625" style="152" customWidth="1"/>
    <col min="14" max="16384" width="11.44140625" style="219"/>
  </cols>
  <sheetData>
    <row r="1" spans="1:13" ht="20.25" customHeight="1">
      <c r="A1" s="220" t="s">
        <v>412</v>
      </c>
      <c r="B1" s="154"/>
      <c r="C1" s="154"/>
      <c r="D1" s="154"/>
      <c r="E1" s="154"/>
      <c r="F1" s="154"/>
      <c r="G1" s="154"/>
      <c r="H1" s="154"/>
    </row>
    <row r="2" spans="1:13" ht="20.25" customHeight="1">
      <c r="A2" s="220"/>
      <c r="B2" s="251"/>
      <c r="C2" s="251"/>
      <c r="D2" s="251"/>
      <c r="E2" s="251"/>
      <c r="F2" s="251"/>
      <c r="G2" s="251"/>
      <c r="H2" s="251"/>
    </row>
    <row r="3" spans="1:13" ht="20.25" customHeight="1">
      <c r="A3" s="457" t="s">
        <v>1059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7"/>
    </row>
    <row r="4" spans="1:13" ht="20.25" customHeight="1">
      <c r="A4" s="252"/>
      <c r="B4" s="252"/>
      <c r="C4" s="252"/>
      <c r="D4" s="252"/>
      <c r="E4" s="252"/>
      <c r="F4" s="252"/>
      <c r="G4" s="252"/>
      <c r="H4" s="252"/>
      <c r="I4" s="160"/>
      <c r="J4" s="160"/>
      <c r="K4" s="160"/>
      <c r="L4" s="160"/>
      <c r="M4" s="160"/>
    </row>
    <row r="5" spans="1:13" ht="20.25" customHeight="1">
      <c r="A5" s="161"/>
      <c r="B5" s="458" t="s">
        <v>413</v>
      </c>
      <c r="C5" s="458"/>
      <c r="D5" s="458"/>
      <c r="E5" s="458"/>
      <c r="F5" s="458"/>
      <c r="G5" s="458"/>
      <c r="H5" s="458"/>
      <c r="I5" s="162"/>
      <c r="J5" s="459" t="s">
        <v>536</v>
      </c>
      <c r="K5" s="459"/>
      <c r="L5" s="459"/>
      <c r="M5" s="459"/>
    </row>
    <row r="6" spans="1:13" ht="20.25" customHeight="1">
      <c r="A6" s="253" t="s">
        <v>537</v>
      </c>
      <c r="B6" s="164" t="s">
        <v>540</v>
      </c>
      <c r="C6" s="165" t="s">
        <v>539</v>
      </c>
      <c r="D6" s="165" t="s">
        <v>539</v>
      </c>
      <c r="E6" s="165" t="s">
        <v>1053</v>
      </c>
      <c r="F6" s="165" t="s">
        <v>539</v>
      </c>
      <c r="G6" s="165" t="s">
        <v>539</v>
      </c>
      <c r="H6" s="205" t="s">
        <v>540</v>
      </c>
      <c r="I6" s="166"/>
      <c r="J6" s="163" t="s">
        <v>541</v>
      </c>
      <c r="K6" s="165" t="s">
        <v>542</v>
      </c>
      <c r="L6" s="165" t="s">
        <v>542</v>
      </c>
      <c r="M6" s="163" t="s">
        <v>542</v>
      </c>
    </row>
    <row r="7" spans="1:13" ht="20.25" customHeight="1">
      <c r="A7" s="174"/>
      <c r="B7" s="206">
        <v>42370</v>
      </c>
      <c r="C7" s="173" t="s">
        <v>543</v>
      </c>
      <c r="D7" s="173" t="s">
        <v>544</v>
      </c>
      <c r="E7" s="173" t="s">
        <v>154</v>
      </c>
      <c r="F7" s="173" t="s">
        <v>866</v>
      </c>
      <c r="G7" s="173" t="s">
        <v>546</v>
      </c>
      <c r="H7" s="207">
        <v>42735</v>
      </c>
      <c r="I7" s="171"/>
      <c r="J7" s="172" t="s">
        <v>547</v>
      </c>
      <c r="K7" s="173" t="s">
        <v>548</v>
      </c>
      <c r="L7" s="173" t="s">
        <v>549</v>
      </c>
      <c r="M7" s="172" t="s">
        <v>550</v>
      </c>
    </row>
    <row r="8" spans="1:13" ht="20.25" customHeight="1">
      <c r="A8" s="254"/>
      <c r="B8" s="255"/>
      <c r="C8" s="256"/>
      <c r="D8" s="256"/>
      <c r="E8" s="256"/>
      <c r="F8" s="256"/>
      <c r="G8" s="256"/>
      <c r="H8" s="257"/>
      <c r="I8" s="162"/>
      <c r="J8" s="179"/>
      <c r="K8" s="162"/>
      <c r="L8" s="162"/>
      <c r="M8" s="179"/>
    </row>
    <row r="9" spans="1:13" s="220" customFormat="1" ht="20.25" customHeight="1">
      <c r="A9" s="258" t="s">
        <v>868</v>
      </c>
      <c r="B9" s="181">
        <f t="shared" ref="B9:H9" si="0">SUM(B11,B19,B22,B31,B38,B45,B54,B63,B71,B79,B87,B97,B101,B108,B113)</f>
        <v>172045</v>
      </c>
      <c r="C9" s="181">
        <f t="shared" si="0"/>
        <v>40001</v>
      </c>
      <c r="D9" s="181">
        <f t="shared" si="0"/>
        <v>25619</v>
      </c>
      <c r="E9" s="181">
        <f t="shared" si="0"/>
        <v>48</v>
      </c>
      <c r="F9" s="181">
        <f t="shared" si="0"/>
        <v>33752</v>
      </c>
      <c r="G9" s="181">
        <f t="shared" si="0"/>
        <v>33197</v>
      </c>
      <c r="H9" s="181">
        <f t="shared" si="0"/>
        <v>170764</v>
      </c>
      <c r="I9" s="182"/>
      <c r="J9" s="183">
        <f>SUM(B9:E9)/F9</f>
        <v>7.0429307892865607</v>
      </c>
      <c r="K9" s="184">
        <f>(H9/SUM(B9:E9))*100</f>
        <v>71.836205844863343</v>
      </c>
      <c r="L9" s="184">
        <f>(F9/SUM(B9:E9))*100</f>
        <v>14.198634487806725</v>
      </c>
      <c r="M9" s="185">
        <f>(G9/SUM(B9:E9))*100</f>
        <v>13.965159667329932</v>
      </c>
    </row>
    <row r="10" spans="1:13" ht="20.25" customHeight="1">
      <c r="A10" s="259"/>
      <c r="B10" s="192"/>
      <c r="C10" s="192"/>
      <c r="D10" s="192"/>
      <c r="E10" s="192"/>
      <c r="F10" s="192"/>
      <c r="G10" s="192"/>
      <c r="H10" s="192"/>
      <c r="I10" s="182"/>
      <c r="J10" s="187"/>
      <c r="K10" s="188"/>
      <c r="L10" s="188"/>
      <c r="M10" s="189"/>
    </row>
    <row r="11" spans="1:13" s="220" customFormat="1" ht="20.25" customHeight="1">
      <c r="A11" s="260" t="s">
        <v>551</v>
      </c>
      <c r="B11" s="181">
        <f t="shared" ref="B11:H11" si="1">SUM(B12:B17)</f>
        <v>9713</v>
      </c>
      <c r="C11" s="181">
        <f t="shared" si="1"/>
        <v>2950</v>
      </c>
      <c r="D11" s="181">
        <f t="shared" si="1"/>
        <v>1923</v>
      </c>
      <c r="E11" s="181">
        <v>0</v>
      </c>
      <c r="F11" s="181">
        <f t="shared" si="1"/>
        <v>2677</v>
      </c>
      <c r="G11" s="181">
        <f t="shared" si="1"/>
        <v>2721</v>
      </c>
      <c r="H11" s="181">
        <f t="shared" si="1"/>
        <v>9188</v>
      </c>
      <c r="I11" s="182"/>
      <c r="J11" s="183">
        <f t="shared" ref="J11:J17" si="2">SUM(B11:E11)/F11</f>
        <v>5.4486365334329472</v>
      </c>
      <c r="K11" s="184">
        <f t="shared" ref="K11:K17" si="3">(H11/SUM(B11:E11))*100</f>
        <v>62.99191005073358</v>
      </c>
      <c r="L11" s="184">
        <f t="shared" ref="L11:L17" si="4">(F11/SUM(B11:E11))*100</f>
        <v>18.353215412038942</v>
      </c>
      <c r="M11" s="185">
        <f t="shared" ref="M11:M17" si="5">(G11/SUM(B11:E11))*100</f>
        <v>18.654874537227478</v>
      </c>
    </row>
    <row r="12" spans="1:13" s="220" customFormat="1" ht="20.25" customHeight="1">
      <c r="A12" s="191" t="s">
        <v>414</v>
      </c>
      <c r="B12" s="182">
        <v>3836</v>
      </c>
      <c r="C12" s="182">
        <v>1310</v>
      </c>
      <c r="D12" s="182">
        <v>638</v>
      </c>
      <c r="E12" s="182">
        <v>0</v>
      </c>
      <c r="F12" s="182">
        <v>939</v>
      </c>
      <c r="G12" s="182">
        <v>1153</v>
      </c>
      <c r="H12" s="182">
        <v>3692</v>
      </c>
      <c r="I12" s="182"/>
      <c r="J12" s="187">
        <f t="shared" si="2"/>
        <v>6.159744408945687</v>
      </c>
      <c r="K12" s="188">
        <f t="shared" si="3"/>
        <v>63.831258644536646</v>
      </c>
      <c r="L12" s="188">
        <f t="shared" si="4"/>
        <v>16.234439834024897</v>
      </c>
      <c r="M12" s="189">
        <f t="shared" si="5"/>
        <v>19.934301521438453</v>
      </c>
    </row>
    <row r="13" spans="1:13" s="220" customFormat="1" ht="20.25" customHeight="1">
      <c r="A13" s="213" t="s">
        <v>415</v>
      </c>
      <c r="B13" s="182">
        <v>2107</v>
      </c>
      <c r="C13" s="182">
        <v>583</v>
      </c>
      <c r="D13" s="182">
        <v>178</v>
      </c>
      <c r="E13" s="182">
        <v>0</v>
      </c>
      <c r="F13" s="182">
        <v>401</v>
      </c>
      <c r="G13" s="182">
        <v>762</v>
      </c>
      <c r="H13" s="182">
        <v>1705</v>
      </c>
      <c r="I13" s="182"/>
      <c r="J13" s="187">
        <f t="shared" si="2"/>
        <v>7.1521197007481296</v>
      </c>
      <c r="K13" s="188">
        <f t="shared" si="3"/>
        <v>59.449093444909337</v>
      </c>
      <c r="L13" s="188">
        <f t="shared" si="4"/>
        <v>13.981868898186889</v>
      </c>
      <c r="M13" s="189">
        <f t="shared" si="5"/>
        <v>26.569037656903767</v>
      </c>
    </row>
    <row r="14" spans="1:13" s="220" customFormat="1" ht="20.25" customHeight="1">
      <c r="A14" s="191" t="s">
        <v>416</v>
      </c>
      <c r="B14" s="182">
        <v>1337</v>
      </c>
      <c r="C14" s="182">
        <v>295</v>
      </c>
      <c r="D14" s="182">
        <v>819</v>
      </c>
      <c r="E14" s="182">
        <v>0</v>
      </c>
      <c r="F14" s="182">
        <v>851</v>
      </c>
      <c r="G14" s="182">
        <v>445</v>
      </c>
      <c r="H14" s="182">
        <v>1155</v>
      </c>
      <c r="I14" s="182"/>
      <c r="J14" s="187">
        <f t="shared" si="2"/>
        <v>2.8801410105757932</v>
      </c>
      <c r="K14" s="188">
        <f t="shared" si="3"/>
        <v>47.123623011015916</v>
      </c>
      <c r="L14" s="188">
        <f t="shared" si="4"/>
        <v>34.720522235822116</v>
      </c>
      <c r="M14" s="189">
        <f t="shared" si="5"/>
        <v>18.155854753161975</v>
      </c>
    </row>
    <row r="15" spans="1:13" s="220" customFormat="1" ht="20.25" customHeight="1">
      <c r="A15" s="191" t="s">
        <v>262</v>
      </c>
      <c r="B15" s="182">
        <v>364</v>
      </c>
      <c r="C15" s="182">
        <v>116</v>
      </c>
      <c r="D15" s="182">
        <v>137</v>
      </c>
      <c r="E15" s="182">
        <v>0</v>
      </c>
      <c r="F15" s="182">
        <v>94</v>
      </c>
      <c r="G15" s="182">
        <v>163</v>
      </c>
      <c r="H15" s="182">
        <v>360</v>
      </c>
      <c r="I15" s="182"/>
      <c r="J15" s="187">
        <f t="shared" si="2"/>
        <v>6.5638297872340425</v>
      </c>
      <c r="K15" s="188">
        <f t="shared" si="3"/>
        <v>58.346839546191241</v>
      </c>
      <c r="L15" s="188">
        <f t="shared" si="4"/>
        <v>15.235008103727715</v>
      </c>
      <c r="M15" s="189">
        <f t="shared" si="5"/>
        <v>26.418152350081037</v>
      </c>
    </row>
    <row r="16" spans="1:13" s="220" customFormat="1" ht="20.25" customHeight="1">
      <c r="A16" s="191" t="s">
        <v>263</v>
      </c>
      <c r="B16" s="182">
        <v>1902</v>
      </c>
      <c r="C16" s="182">
        <v>622</v>
      </c>
      <c r="D16" s="182">
        <v>148</v>
      </c>
      <c r="E16" s="182">
        <v>0</v>
      </c>
      <c r="F16" s="182">
        <v>372</v>
      </c>
      <c r="G16" s="182">
        <v>130</v>
      </c>
      <c r="H16" s="182">
        <v>2170</v>
      </c>
      <c r="I16" s="182"/>
      <c r="J16" s="187">
        <f t="shared" si="2"/>
        <v>7.182795698924731</v>
      </c>
      <c r="K16" s="188">
        <f t="shared" si="3"/>
        <v>81.212574850299404</v>
      </c>
      <c r="L16" s="188">
        <f t="shared" si="4"/>
        <v>13.922155688622754</v>
      </c>
      <c r="M16" s="189">
        <f t="shared" si="5"/>
        <v>4.8652694610778449</v>
      </c>
    </row>
    <row r="17" spans="1:13" s="220" customFormat="1" ht="20.25" customHeight="1">
      <c r="A17" s="191" t="s">
        <v>264</v>
      </c>
      <c r="B17" s="182">
        <v>167</v>
      </c>
      <c r="C17" s="182">
        <v>24</v>
      </c>
      <c r="D17" s="182">
        <v>3</v>
      </c>
      <c r="E17" s="182">
        <v>0</v>
      </c>
      <c r="F17" s="182">
        <v>20</v>
      </c>
      <c r="G17" s="182">
        <v>68</v>
      </c>
      <c r="H17" s="182">
        <v>106</v>
      </c>
      <c r="I17" s="182"/>
      <c r="J17" s="187">
        <f t="shared" si="2"/>
        <v>9.6999999999999993</v>
      </c>
      <c r="K17" s="188">
        <f t="shared" si="3"/>
        <v>54.639175257731956</v>
      </c>
      <c r="L17" s="188">
        <f t="shared" si="4"/>
        <v>10.309278350515463</v>
      </c>
      <c r="M17" s="189">
        <f t="shared" si="5"/>
        <v>35.051546391752574</v>
      </c>
    </row>
    <row r="18" spans="1:13" s="220" customFormat="1" ht="20.25" customHeight="1">
      <c r="A18" s="261"/>
      <c r="B18" s="182"/>
      <c r="C18" s="182"/>
      <c r="D18" s="182"/>
      <c r="E18" s="182"/>
      <c r="F18" s="182"/>
      <c r="G18" s="182"/>
      <c r="H18" s="182"/>
      <c r="I18" s="182"/>
      <c r="J18" s="183"/>
      <c r="K18" s="188"/>
      <c r="L18" s="188"/>
      <c r="M18" s="189"/>
    </row>
    <row r="19" spans="1:13" s="220" customFormat="1" ht="20.25" customHeight="1">
      <c r="A19" s="260" t="s">
        <v>268</v>
      </c>
      <c r="B19" s="169">
        <f t="shared" ref="B19:H19" si="6">B20</f>
        <v>12928</v>
      </c>
      <c r="C19" s="169">
        <f t="shared" si="6"/>
        <v>3161</v>
      </c>
      <c r="D19" s="169">
        <f t="shared" si="6"/>
        <v>1662</v>
      </c>
      <c r="E19" s="169">
        <v>1</v>
      </c>
      <c r="F19" s="169">
        <f t="shared" si="6"/>
        <v>1858</v>
      </c>
      <c r="G19" s="169">
        <f t="shared" si="6"/>
        <v>204</v>
      </c>
      <c r="H19" s="169">
        <f t="shared" si="6"/>
        <v>15690</v>
      </c>
      <c r="I19" s="169"/>
      <c r="J19" s="183">
        <f t="shared" ref="J19:J20" si="7">SUM(B19:E19)/F19</f>
        <v>9.5543595263724441</v>
      </c>
      <c r="K19" s="184">
        <f t="shared" ref="K19:K20" si="8">(H19/SUM(B19:E19))*100</f>
        <v>88.384407390716532</v>
      </c>
      <c r="L19" s="184">
        <f t="shared" ref="L19:L20" si="9">(F19/SUM(B19:E19))*100</f>
        <v>10.466426318161334</v>
      </c>
      <c r="M19" s="185">
        <f t="shared" ref="M19:M20" si="10">(G19/SUM(B19:E19))*100</f>
        <v>1.149166291122127</v>
      </c>
    </row>
    <row r="20" spans="1:13" s="220" customFormat="1" ht="20.25" customHeight="1">
      <c r="A20" s="213" t="s">
        <v>417</v>
      </c>
      <c r="B20" s="182">
        <v>12928</v>
      </c>
      <c r="C20" s="182">
        <v>3161</v>
      </c>
      <c r="D20" s="182">
        <v>1662</v>
      </c>
      <c r="E20" s="182">
        <v>1</v>
      </c>
      <c r="F20" s="182">
        <v>1858</v>
      </c>
      <c r="G20" s="182">
        <v>204</v>
      </c>
      <c r="H20" s="182">
        <v>15690</v>
      </c>
      <c r="I20" s="182"/>
      <c r="J20" s="187">
        <f t="shared" si="7"/>
        <v>9.5543595263724441</v>
      </c>
      <c r="K20" s="188">
        <f t="shared" si="8"/>
        <v>88.384407390716532</v>
      </c>
      <c r="L20" s="188">
        <f t="shared" si="9"/>
        <v>10.466426318161334</v>
      </c>
      <c r="M20" s="189">
        <f t="shared" si="10"/>
        <v>1.149166291122127</v>
      </c>
    </row>
    <row r="21" spans="1:13" s="220" customFormat="1" ht="20.25" customHeight="1">
      <c r="A21" s="261"/>
      <c r="B21" s="182"/>
      <c r="C21" s="182"/>
      <c r="D21" s="182"/>
      <c r="E21" s="182"/>
      <c r="F21" s="182"/>
      <c r="G21" s="182"/>
      <c r="H21" s="182"/>
      <c r="I21" s="182"/>
      <c r="J21" s="183"/>
      <c r="K21" s="188"/>
      <c r="L21" s="188"/>
      <c r="M21" s="189"/>
    </row>
    <row r="22" spans="1:13" s="220" customFormat="1" ht="20.25" customHeight="1">
      <c r="A22" s="260" t="s">
        <v>271</v>
      </c>
      <c r="B22" s="169">
        <f t="shared" ref="B22:H22" si="11">SUM(B23:B29)</f>
        <v>22473</v>
      </c>
      <c r="C22" s="169">
        <f t="shared" si="11"/>
        <v>4833</v>
      </c>
      <c r="D22" s="169">
        <f t="shared" si="11"/>
        <v>3705</v>
      </c>
      <c r="E22" s="169">
        <v>10</v>
      </c>
      <c r="F22" s="169">
        <f t="shared" si="11"/>
        <v>4945</v>
      </c>
      <c r="G22" s="169">
        <f t="shared" si="11"/>
        <v>3853</v>
      </c>
      <c r="H22" s="169">
        <f t="shared" si="11"/>
        <v>22223</v>
      </c>
      <c r="I22" s="169"/>
      <c r="J22" s="183">
        <f t="shared" ref="J22:J29" si="12">SUM(B22:E22)/F22</f>
        <v>6.2732052578361985</v>
      </c>
      <c r="K22" s="184">
        <f t="shared" ref="K22:K29" si="13">(H22/SUM(B22:E22))*100</f>
        <v>71.638567422068917</v>
      </c>
      <c r="L22" s="184">
        <f t="shared" ref="L22:L29" si="14">(F22/SUM(B22:E22))*100</f>
        <v>15.94081428709584</v>
      </c>
      <c r="M22" s="185">
        <f t="shared" ref="M22:M29" si="15">(G22/SUM(B22:E22))*100</f>
        <v>12.420618290835241</v>
      </c>
    </row>
    <row r="23" spans="1:13" s="220" customFormat="1" ht="20.25" customHeight="1">
      <c r="A23" s="213" t="s">
        <v>418</v>
      </c>
      <c r="B23" s="182">
        <v>3602</v>
      </c>
      <c r="C23" s="182">
        <v>751</v>
      </c>
      <c r="D23" s="182">
        <v>575</v>
      </c>
      <c r="E23" s="182">
        <v>0</v>
      </c>
      <c r="F23" s="182">
        <v>610</v>
      </c>
      <c r="G23" s="182">
        <v>901</v>
      </c>
      <c r="H23" s="182">
        <v>3417</v>
      </c>
      <c r="I23" s="182"/>
      <c r="J23" s="187">
        <f t="shared" si="12"/>
        <v>8.0786885245901647</v>
      </c>
      <c r="K23" s="188">
        <f t="shared" si="13"/>
        <v>69.338474025974023</v>
      </c>
      <c r="L23" s="188">
        <f t="shared" si="14"/>
        <v>12.378246753246753</v>
      </c>
      <c r="M23" s="189">
        <f t="shared" si="15"/>
        <v>18.283279220779221</v>
      </c>
    </row>
    <row r="24" spans="1:13" s="220" customFormat="1" ht="20.25" customHeight="1">
      <c r="A24" s="191" t="s">
        <v>275</v>
      </c>
      <c r="B24" s="182">
        <v>1993</v>
      </c>
      <c r="C24" s="182">
        <v>451</v>
      </c>
      <c r="D24" s="182">
        <v>346</v>
      </c>
      <c r="E24" s="182">
        <v>0</v>
      </c>
      <c r="F24" s="182">
        <v>295</v>
      </c>
      <c r="G24" s="182">
        <v>494</v>
      </c>
      <c r="H24" s="182">
        <v>2001</v>
      </c>
      <c r="I24" s="182"/>
      <c r="J24" s="187">
        <f t="shared" si="12"/>
        <v>9.4576271186440675</v>
      </c>
      <c r="K24" s="188">
        <f t="shared" si="13"/>
        <v>71.72043010752688</v>
      </c>
      <c r="L24" s="188">
        <f t="shared" si="14"/>
        <v>10.573476702508961</v>
      </c>
      <c r="M24" s="189">
        <f t="shared" si="15"/>
        <v>17.706093189964157</v>
      </c>
    </row>
    <row r="25" spans="1:13" s="220" customFormat="1" ht="20.25" customHeight="1">
      <c r="A25" s="191" t="s">
        <v>276</v>
      </c>
      <c r="B25" s="182">
        <v>1154</v>
      </c>
      <c r="C25" s="182">
        <v>284</v>
      </c>
      <c r="D25" s="182">
        <v>147</v>
      </c>
      <c r="E25" s="182">
        <v>0</v>
      </c>
      <c r="F25" s="182">
        <v>258</v>
      </c>
      <c r="G25" s="182">
        <v>204</v>
      </c>
      <c r="H25" s="182">
        <v>1123</v>
      </c>
      <c r="I25" s="182"/>
      <c r="J25" s="187">
        <f t="shared" si="12"/>
        <v>6.1434108527131785</v>
      </c>
      <c r="K25" s="188">
        <f t="shared" si="13"/>
        <v>70.85173501577286</v>
      </c>
      <c r="L25" s="188">
        <f t="shared" si="14"/>
        <v>16.277602523659308</v>
      </c>
      <c r="M25" s="189">
        <f t="shared" si="15"/>
        <v>12.870662460567821</v>
      </c>
    </row>
    <row r="26" spans="1:13" s="220" customFormat="1" ht="20.25" customHeight="1">
      <c r="A26" s="191" t="s">
        <v>277</v>
      </c>
      <c r="B26" s="182">
        <v>3513</v>
      </c>
      <c r="C26" s="182">
        <v>722</v>
      </c>
      <c r="D26" s="182">
        <v>364</v>
      </c>
      <c r="E26" s="182">
        <v>0</v>
      </c>
      <c r="F26" s="182">
        <v>505</v>
      </c>
      <c r="G26" s="182">
        <v>890</v>
      </c>
      <c r="H26" s="182">
        <v>3204</v>
      </c>
      <c r="I26" s="182"/>
      <c r="J26" s="187">
        <f t="shared" si="12"/>
        <v>9.106930693069307</v>
      </c>
      <c r="K26" s="188">
        <f t="shared" si="13"/>
        <v>69.667318982387471</v>
      </c>
      <c r="L26" s="188">
        <f t="shared" si="14"/>
        <v>10.980647966949336</v>
      </c>
      <c r="M26" s="189">
        <f t="shared" si="15"/>
        <v>19.352033050663188</v>
      </c>
    </row>
    <row r="27" spans="1:13" s="220" customFormat="1" ht="20.25" customHeight="1">
      <c r="A27" s="213" t="s">
        <v>419</v>
      </c>
      <c r="B27" s="182">
        <v>8390</v>
      </c>
      <c r="C27" s="182">
        <v>1978</v>
      </c>
      <c r="D27" s="182">
        <v>1286</v>
      </c>
      <c r="E27" s="182">
        <v>10</v>
      </c>
      <c r="F27" s="182">
        <v>1301</v>
      </c>
      <c r="G27" s="182">
        <v>1203</v>
      </c>
      <c r="H27" s="182">
        <v>9160</v>
      </c>
      <c r="I27" s="182"/>
      <c r="J27" s="187">
        <f t="shared" si="12"/>
        <v>8.965411222136817</v>
      </c>
      <c r="K27" s="188">
        <f t="shared" si="13"/>
        <v>78.532235939643343</v>
      </c>
      <c r="L27" s="188">
        <f t="shared" si="14"/>
        <v>11.153978052126199</v>
      </c>
      <c r="M27" s="189">
        <f t="shared" si="15"/>
        <v>10.313786008230451</v>
      </c>
    </row>
    <row r="28" spans="1:13" s="220" customFormat="1" ht="20.25" customHeight="1">
      <c r="A28" s="191" t="s">
        <v>278</v>
      </c>
      <c r="B28" s="182">
        <v>3154</v>
      </c>
      <c r="C28" s="182">
        <v>512</v>
      </c>
      <c r="D28" s="182">
        <v>841</v>
      </c>
      <c r="E28" s="182">
        <v>0</v>
      </c>
      <c r="F28" s="182">
        <v>1858</v>
      </c>
      <c r="G28" s="182">
        <v>48</v>
      </c>
      <c r="H28" s="182">
        <v>2601</v>
      </c>
      <c r="I28" s="182"/>
      <c r="J28" s="187">
        <f t="shared" si="12"/>
        <v>2.4257265877287404</v>
      </c>
      <c r="K28" s="188">
        <f t="shared" si="13"/>
        <v>57.710228533392502</v>
      </c>
      <c r="L28" s="188">
        <f t="shared" si="14"/>
        <v>41.224761482138895</v>
      </c>
      <c r="M28" s="189">
        <f t="shared" si="15"/>
        <v>1.0650099844686045</v>
      </c>
    </row>
    <row r="29" spans="1:13" s="220" customFormat="1" ht="20.25" customHeight="1">
      <c r="A29" s="191" t="s">
        <v>279</v>
      </c>
      <c r="B29" s="182">
        <v>667</v>
      </c>
      <c r="C29" s="182">
        <v>135</v>
      </c>
      <c r="D29" s="182">
        <v>146</v>
      </c>
      <c r="E29" s="182">
        <v>0</v>
      </c>
      <c r="F29" s="182">
        <v>118</v>
      </c>
      <c r="G29" s="182">
        <v>113</v>
      </c>
      <c r="H29" s="182">
        <v>717</v>
      </c>
      <c r="I29" s="182"/>
      <c r="J29" s="187">
        <f t="shared" si="12"/>
        <v>8.0338983050847457</v>
      </c>
      <c r="K29" s="188">
        <f t="shared" si="13"/>
        <v>75.632911392405063</v>
      </c>
      <c r="L29" s="188">
        <f t="shared" si="14"/>
        <v>12.447257383966246</v>
      </c>
      <c r="M29" s="189">
        <f t="shared" si="15"/>
        <v>11.919831223628693</v>
      </c>
    </row>
    <row r="30" spans="1:13" s="220" customFormat="1" ht="20.25" customHeight="1">
      <c r="A30" s="195"/>
      <c r="B30" s="182"/>
      <c r="C30" s="182"/>
      <c r="D30" s="182"/>
      <c r="E30" s="182"/>
      <c r="F30" s="182"/>
      <c r="G30" s="182"/>
      <c r="H30" s="182"/>
      <c r="I30" s="182"/>
      <c r="J30" s="183"/>
      <c r="K30" s="188"/>
      <c r="L30" s="188"/>
      <c r="M30" s="189"/>
    </row>
    <row r="31" spans="1:13" s="220" customFormat="1" ht="20.25" customHeight="1">
      <c r="A31" s="260" t="s">
        <v>280</v>
      </c>
      <c r="B31" s="169">
        <f t="shared" ref="B31:H31" si="16">SUM(B32:B36)</f>
        <v>10860</v>
      </c>
      <c r="C31" s="169">
        <f t="shared" si="16"/>
        <v>2890</v>
      </c>
      <c r="D31" s="169">
        <f t="shared" si="16"/>
        <v>1435</v>
      </c>
      <c r="E31" s="169">
        <v>4</v>
      </c>
      <c r="F31" s="169">
        <f t="shared" si="16"/>
        <v>1178</v>
      </c>
      <c r="G31" s="169">
        <f t="shared" si="16"/>
        <v>1902</v>
      </c>
      <c r="H31" s="169">
        <f t="shared" si="16"/>
        <v>12109</v>
      </c>
      <c r="I31" s="169"/>
      <c r="J31" s="183">
        <f t="shared" ref="J31:J36" si="17">SUM(B31:E31)/F31</f>
        <v>12.893887945670627</v>
      </c>
      <c r="K31" s="184">
        <f t="shared" ref="K31:K36" si="18">(H31/SUM(B31:E31))*100</f>
        <v>79.722167357956423</v>
      </c>
      <c r="L31" s="184">
        <f t="shared" ref="L31:L36" si="19">(F31/SUM(B31:E31))*100</f>
        <v>7.7556126143919952</v>
      </c>
      <c r="M31" s="185">
        <f t="shared" ref="M31:M36" si="20">(G31/SUM(B31:E31))*100</f>
        <v>12.52222002765159</v>
      </c>
    </row>
    <row r="32" spans="1:13" s="220" customFormat="1" ht="20.25" customHeight="1">
      <c r="A32" s="213" t="s">
        <v>420</v>
      </c>
      <c r="B32" s="182">
        <v>8170</v>
      </c>
      <c r="C32" s="182">
        <v>2277</v>
      </c>
      <c r="D32" s="182">
        <v>1063</v>
      </c>
      <c r="E32" s="182">
        <v>4</v>
      </c>
      <c r="F32" s="182">
        <v>771</v>
      </c>
      <c r="G32" s="182">
        <v>1335</v>
      </c>
      <c r="H32" s="182">
        <v>9408</v>
      </c>
      <c r="I32" s="182"/>
      <c r="J32" s="187">
        <f t="shared" si="17"/>
        <v>14.933852140077821</v>
      </c>
      <c r="K32" s="188">
        <f t="shared" si="18"/>
        <v>81.709223553934336</v>
      </c>
      <c r="L32" s="188">
        <f t="shared" si="19"/>
        <v>6.6961959353830123</v>
      </c>
      <c r="M32" s="189">
        <f t="shared" si="20"/>
        <v>11.594580510682647</v>
      </c>
    </row>
    <row r="33" spans="1:13" s="220" customFormat="1" ht="20.25" customHeight="1">
      <c r="A33" s="191" t="s">
        <v>283</v>
      </c>
      <c r="B33" s="182">
        <v>805</v>
      </c>
      <c r="C33" s="182">
        <v>176</v>
      </c>
      <c r="D33" s="182">
        <v>162</v>
      </c>
      <c r="E33" s="182">
        <v>0</v>
      </c>
      <c r="F33" s="182">
        <v>139</v>
      </c>
      <c r="G33" s="182">
        <v>207</v>
      </c>
      <c r="H33" s="182">
        <v>797</v>
      </c>
      <c r="I33" s="182"/>
      <c r="J33" s="187">
        <f t="shared" si="17"/>
        <v>8.2230215827338125</v>
      </c>
      <c r="K33" s="188">
        <f t="shared" si="18"/>
        <v>69.728783902012253</v>
      </c>
      <c r="L33" s="188">
        <f t="shared" si="19"/>
        <v>12.16097987751531</v>
      </c>
      <c r="M33" s="189">
        <f t="shared" si="20"/>
        <v>18.110236220472441</v>
      </c>
    </row>
    <row r="34" spans="1:13" s="220" customFormat="1" ht="20.25" customHeight="1">
      <c r="A34" s="191" t="s">
        <v>421</v>
      </c>
      <c r="B34" s="182">
        <v>866</v>
      </c>
      <c r="C34" s="182">
        <v>145</v>
      </c>
      <c r="D34" s="182">
        <v>78</v>
      </c>
      <c r="E34" s="182">
        <v>0</v>
      </c>
      <c r="F34" s="182">
        <v>74</v>
      </c>
      <c r="G34" s="182">
        <v>166</v>
      </c>
      <c r="H34" s="182">
        <v>849</v>
      </c>
      <c r="I34" s="182"/>
      <c r="J34" s="187">
        <f t="shared" si="17"/>
        <v>14.716216216216216</v>
      </c>
      <c r="K34" s="188">
        <f t="shared" si="18"/>
        <v>77.96143250688705</v>
      </c>
      <c r="L34" s="188">
        <f t="shared" si="19"/>
        <v>6.7952249770431585</v>
      </c>
      <c r="M34" s="189">
        <f t="shared" si="20"/>
        <v>15.243342516069788</v>
      </c>
    </row>
    <row r="35" spans="1:13" s="220" customFormat="1" ht="20.25" customHeight="1">
      <c r="A35" s="191" t="s">
        <v>285</v>
      </c>
      <c r="B35" s="182">
        <v>160</v>
      </c>
      <c r="C35" s="182">
        <v>41</v>
      </c>
      <c r="D35" s="182">
        <v>10</v>
      </c>
      <c r="E35" s="182">
        <v>0</v>
      </c>
      <c r="F35" s="182">
        <v>33</v>
      </c>
      <c r="G35" s="182">
        <v>28</v>
      </c>
      <c r="H35" s="182">
        <v>150</v>
      </c>
      <c r="I35" s="182"/>
      <c r="J35" s="187">
        <f t="shared" si="17"/>
        <v>6.3939393939393936</v>
      </c>
      <c r="K35" s="188">
        <f t="shared" si="18"/>
        <v>71.090047393364927</v>
      </c>
      <c r="L35" s="188">
        <f t="shared" si="19"/>
        <v>15.639810426540285</v>
      </c>
      <c r="M35" s="189">
        <f t="shared" si="20"/>
        <v>13.270142180094787</v>
      </c>
    </row>
    <row r="36" spans="1:13" s="220" customFormat="1" ht="20.25" customHeight="1">
      <c r="A36" s="191" t="s">
        <v>286</v>
      </c>
      <c r="B36" s="182">
        <v>859</v>
      </c>
      <c r="C36" s="182">
        <v>251</v>
      </c>
      <c r="D36" s="182">
        <v>122</v>
      </c>
      <c r="E36" s="182">
        <v>0</v>
      </c>
      <c r="F36" s="182">
        <v>161</v>
      </c>
      <c r="G36" s="182">
        <v>166</v>
      </c>
      <c r="H36" s="182">
        <v>905</v>
      </c>
      <c r="I36" s="182"/>
      <c r="J36" s="187">
        <f t="shared" si="17"/>
        <v>7.6521739130434785</v>
      </c>
      <c r="K36" s="188">
        <f t="shared" si="18"/>
        <v>73.45779220779221</v>
      </c>
      <c r="L36" s="188">
        <f t="shared" si="19"/>
        <v>13.068181818181818</v>
      </c>
      <c r="M36" s="189">
        <f t="shared" si="20"/>
        <v>13.474025974025974</v>
      </c>
    </row>
    <row r="37" spans="1:13" s="220" customFormat="1" ht="20.25" customHeight="1">
      <c r="A37" s="261"/>
      <c r="B37" s="182"/>
      <c r="C37" s="182"/>
      <c r="D37" s="182"/>
      <c r="E37" s="182"/>
      <c r="F37" s="182"/>
      <c r="G37" s="182"/>
      <c r="H37" s="182"/>
      <c r="I37" s="182"/>
      <c r="J37" s="183"/>
      <c r="K37" s="188"/>
      <c r="L37" s="188"/>
      <c r="M37" s="189"/>
    </row>
    <row r="38" spans="1:13" s="220" customFormat="1" ht="20.25" customHeight="1">
      <c r="A38" s="260" t="s">
        <v>287</v>
      </c>
      <c r="B38" s="169">
        <f t="shared" ref="B38:H38" si="21">SUM(B39:B43)</f>
        <v>10137</v>
      </c>
      <c r="C38" s="169">
        <f t="shared" si="21"/>
        <v>2400</v>
      </c>
      <c r="D38" s="169">
        <f t="shared" si="21"/>
        <v>1897</v>
      </c>
      <c r="E38" s="169">
        <v>3</v>
      </c>
      <c r="F38" s="169">
        <f t="shared" si="21"/>
        <v>2371</v>
      </c>
      <c r="G38" s="169">
        <f t="shared" si="21"/>
        <v>3100</v>
      </c>
      <c r="H38" s="169">
        <f t="shared" si="21"/>
        <v>8966</v>
      </c>
      <c r="I38" s="169"/>
      <c r="J38" s="183">
        <f t="shared" ref="J38:J43" si="22">SUM(B38:E38)/F38</f>
        <v>6.0889919865035846</v>
      </c>
      <c r="K38" s="184">
        <f t="shared" ref="K38:K43" si="23">(H38/SUM(B38:E38))*100</f>
        <v>62.10431530096281</v>
      </c>
      <c r="L38" s="184">
        <f t="shared" ref="L38:L43" si="24">(F38/SUM(B38:E38))*100</f>
        <v>16.423079587171848</v>
      </c>
      <c r="M38" s="185">
        <f t="shared" ref="M38:M43" si="25">(G38/SUM(B38:E38))*100</f>
        <v>21.472605111865345</v>
      </c>
    </row>
    <row r="39" spans="1:13" s="220" customFormat="1" ht="20.25" customHeight="1">
      <c r="A39" s="213" t="s">
        <v>422</v>
      </c>
      <c r="B39" s="182">
        <v>6215</v>
      </c>
      <c r="C39" s="182">
        <v>1258</v>
      </c>
      <c r="D39" s="182">
        <v>1107</v>
      </c>
      <c r="E39" s="182">
        <v>2</v>
      </c>
      <c r="F39" s="182">
        <v>1332</v>
      </c>
      <c r="G39" s="182">
        <v>1704</v>
      </c>
      <c r="H39" s="182">
        <v>5546</v>
      </c>
      <c r="I39" s="182"/>
      <c r="J39" s="187">
        <f t="shared" si="22"/>
        <v>6.4429429429429428</v>
      </c>
      <c r="K39" s="188">
        <f t="shared" si="23"/>
        <v>64.623630855278492</v>
      </c>
      <c r="L39" s="188">
        <f t="shared" si="24"/>
        <v>15.520857608948962</v>
      </c>
      <c r="M39" s="189">
        <f t="shared" si="25"/>
        <v>19.855511535772546</v>
      </c>
    </row>
    <row r="40" spans="1:13" s="220" customFormat="1" ht="20.25" customHeight="1">
      <c r="A40" s="191" t="s">
        <v>423</v>
      </c>
      <c r="B40" s="182">
        <v>1817</v>
      </c>
      <c r="C40" s="182">
        <v>424</v>
      </c>
      <c r="D40" s="182">
        <v>494</v>
      </c>
      <c r="E40" s="182">
        <v>0</v>
      </c>
      <c r="F40" s="182">
        <v>511</v>
      </c>
      <c r="G40" s="182">
        <v>879</v>
      </c>
      <c r="H40" s="182">
        <v>1345</v>
      </c>
      <c r="I40" s="182"/>
      <c r="J40" s="187">
        <f t="shared" si="22"/>
        <v>5.3522504892367904</v>
      </c>
      <c r="K40" s="188">
        <f t="shared" si="23"/>
        <v>49.177330895795244</v>
      </c>
      <c r="L40" s="188">
        <f t="shared" si="24"/>
        <v>18.683729433272394</v>
      </c>
      <c r="M40" s="189">
        <f t="shared" si="25"/>
        <v>32.138939670932359</v>
      </c>
    </row>
    <row r="41" spans="1:13" s="220" customFormat="1" ht="20.25" customHeight="1">
      <c r="A41" s="191" t="s">
        <v>424</v>
      </c>
      <c r="B41" s="182">
        <v>884</v>
      </c>
      <c r="C41" s="182">
        <v>228</v>
      </c>
      <c r="D41" s="182">
        <v>72</v>
      </c>
      <c r="E41" s="182">
        <v>0</v>
      </c>
      <c r="F41" s="182">
        <v>240</v>
      </c>
      <c r="G41" s="182">
        <v>42</v>
      </c>
      <c r="H41" s="182">
        <v>902</v>
      </c>
      <c r="I41" s="182"/>
      <c r="J41" s="187">
        <f t="shared" si="22"/>
        <v>4.9333333333333336</v>
      </c>
      <c r="K41" s="188">
        <f t="shared" si="23"/>
        <v>76.182432432432435</v>
      </c>
      <c r="L41" s="188">
        <f t="shared" si="24"/>
        <v>20.27027027027027</v>
      </c>
      <c r="M41" s="189">
        <f t="shared" si="25"/>
        <v>3.5472972972972974</v>
      </c>
    </row>
    <row r="42" spans="1:13" s="220" customFormat="1" ht="20.25" customHeight="1">
      <c r="A42" s="191" t="s">
        <v>292</v>
      </c>
      <c r="B42" s="182">
        <v>249</v>
      </c>
      <c r="C42" s="182">
        <v>184</v>
      </c>
      <c r="D42" s="182">
        <v>32</v>
      </c>
      <c r="E42" s="182">
        <v>1</v>
      </c>
      <c r="F42" s="182">
        <v>86</v>
      </c>
      <c r="G42" s="182">
        <v>94</v>
      </c>
      <c r="H42" s="182">
        <v>286</v>
      </c>
      <c r="I42" s="182"/>
      <c r="J42" s="187">
        <f t="shared" si="22"/>
        <v>5.4186046511627906</v>
      </c>
      <c r="K42" s="188">
        <f t="shared" si="23"/>
        <v>61.373390557939913</v>
      </c>
      <c r="L42" s="188">
        <f t="shared" si="24"/>
        <v>18.454935622317599</v>
      </c>
      <c r="M42" s="189">
        <f t="shared" si="25"/>
        <v>20.171673819742487</v>
      </c>
    </row>
    <row r="43" spans="1:13" s="220" customFormat="1" ht="20.25" customHeight="1">
      <c r="A43" s="191" t="s">
        <v>919</v>
      </c>
      <c r="B43" s="182">
        <v>972</v>
      </c>
      <c r="C43" s="182">
        <v>306</v>
      </c>
      <c r="D43" s="182">
        <v>192</v>
      </c>
      <c r="E43" s="182">
        <v>0</v>
      </c>
      <c r="F43" s="182">
        <v>202</v>
      </c>
      <c r="G43" s="182">
        <v>381</v>
      </c>
      <c r="H43" s="182">
        <v>887</v>
      </c>
      <c r="I43" s="182"/>
      <c r="J43" s="187">
        <f t="shared" si="22"/>
        <v>7.2772277227722775</v>
      </c>
      <c r="K43" s="188">
        <f t="shared" si="23"/>
        <v>60.34013605442177</v>
      </c>
      <c r="L43" s="188">
        <f t="shared" si="24"/>
        <v>13.741496598639454</v>
      </c>
      <c r="M43" s="189">
        <f t="shared" si="25"/>
        <v>25.918367346938776</v>
      </c>
    </row>
    <row r="44" spans="1:13" s="220" customFormat="1" ht="20.25" customHeight="1">
      <c r="A44" s="261"/>
      <c r="B44" s="182"/>
      <c r="C44" s="182"/>
      <c r="D44" s="182"/>
      <c r="E44" s="182"/>
      <c r="F44" s="182"/>
      <c r="G44" s="182"/>
      <c r="H44" s="182"/>
      <c r="I44" s="182"/>
      <c r="J44" s="183"/>
      <c r="K44" s="188"/>
      <c r="L44" s="188"/>
      <c r="M44" s="189"/>
    </row>
    <row r="45" spans="1:13" s="220" customFormat="1" ht="20.25" customHeight="1">
      <c r="A45" s="260" t="s">
        <v>294</v>
      </c>
      <c r="B45" s="169">
        <f t="shared" ref="B45:H45" si="26">SUM(B46:B52)</f>
        <v>9289</v>
      </c>
      <c r="C45" s="169">
        <f t="shared" si="26"/>
        <v>2055</v>
      </c>
      <c r="D45" s="169">
        <f t="shared" si="26"/>
        <v>1178</v>
      </c>
      <c r="E45" s="169">
        <v>0</v>
      </c>
      <c r="F45" s="169">
        <f t="shared" si="26"/>
        <v>2032</v>
      </c>
      <c r="G45" s="169">
        <f t="shared" si="26"/>
        <v>573</v>
      </c>
      <c r="H45" s="169">
        <f t="shared" si="26"/>
        <v>9917</v>
      </c>
      <c r="I45" s="169"/>
      <c r="J45" s="183">
        <f t="shared" ref="J45:J52" si="27">SUM(B45:E45)/F45</f>
        <v>6.16240157480315</v>
      </c>
      <c r="K45" s="184">
        <f t="shared" ref="K45:K52" si="28">(H45/SUM(B45:E45))*100</f>
        <v>79.196613959431403</v>
      </c>
      <c r="L45" s="184">
        <f t="shared" ref="L45:L52" si="29">(F45/SUM(B45:E45))*100</f>
        <v>16.227439706117234</v>
      </c>
      <c r="M45" s="185">
        <f t="shared" ref="M45:M52" si="30">(G45/SUM(B45:E45))*100</f>
        <v>4.5759463344513653</v>
      </c>
    </row>
    <row r="46" spans="1:13" s="220" customFormat="1" ht="20.25" customHeight="1">
      <c r="A46" s="191" t="s">
        <v>920</v>
      </c>
      <c r="B46" s="182">
        <v>2208</v>
      </c>
      <c r="C46" s="182">
        <v>547</v>
      </c>
      <c r="D46" s="182">
        <v>296</v>
      </c>
      <c r="E46" s="182">
        <v>0</v>
      </c>
      <c r="F46" s="182">
        <v>403</v>
      </c>
      <c r="G46" s="182">
        <v>124</v>
      </c>
      <c r="H46" s="182">
        <v>2524</v>
      </c>
      <c r="I46" s="182"/>
      <c r="J46" s="187">
        <f t="shared" si="27"/>
        <v>7.5707196029776673</v>
      </c>
      <c r="K46" s="188">
        <f t="shared" si="28"/>
        <v>82.72697476237299</v>
      </c>
      <c r="L46" s="188">
        <f t="shared" si="29"/>
        <v>13.208784005244182</v>
      </c>
      <c r="M46" s="189">
        <f t="shared" si="30"/>
        <v>4.064241232382825</v>
      </c>
    </row>
    <row r="47" spans="1:13" s="220" customFormat="1" ht="20.25" customHeight="1">
      <c r="A47" s="191" t="s">
        <v>899</v>
      </c>
      <c r="B47" s="182">
        <v>293</v>
      </c>
      <c r="C47" s="182">
        <v>82</v>
      </c>
      <c r="D47" s="182">
        <v>59</v>
      </c>
      <c r="E47" s="182">
        <v>0</v>
      </c>
      <c r="F47" s="182">
        <v>53</v>
      </c>
      <c r="G47" s="182">
        <v>49</v>
      </c>
      <c r="H47" s="182">
        <v>332</v>
      </c>
      <c r="I47" s="166"/>
      <c r="J47" s="187">
        <f t="shared" si="27"/>
        <v>8.1886792452830193</v>
      </c>
      <c r="K47" s="188">
        <f t="shared" si="28"/>
        <v>76.497695852534562</v>
      </c>
      <c r="L47" s="188">
        <f t="shared" si="29"/>
        <v>12.211981566820276</v>
      </c>
      <c r="M47" s="189">
        <f t="shared" si="30"/>
        <v>11.29032258064516</v>
      </c>
    </row>
    <row r="48" spans="1:13" s="220" customFormat="1" ht="20.25" customHeight="1">
      <c r="A48" s="191" t="s">
        <v>300</v>
      </c>
      <c r="B48" s="182">
        <v>836</v>
      </c>
      <c r="C48" s="182">
        <v>138</v>
      </c>
      <c r="D48" s="182">
        <v>169</v>
      </c>
      <c r="E48" s="182">
        <v>0</v>
      </c>
      <c r="F48" s="182">
        <v>456</v>
      </c>
      <c r="G48" s="182">
        <v>149</v>
      </c>
      <c r="H48" s="182">
        <v>538</v>
      </c>
      <c r="I48" s="166"/>
      <c r="J48" s="187">
        <f t="shared" si="27"/>
        <v>2.5065789473684212</v>
      </c>
      <c r="K48" s="188">
        <f t="shared" si="28"/>
        <v>47.069116360454942</v>
      </c>
      <c r="L48" s="188">
        <f t="shared" si="29"/>
        <v>39.895013123359583</v>
      </c>
      <c r="M48" s="189">
        <f t="shared" si="30"/>
        <v>13.035870516185478</v>
      </c>
    </row>
    <row r="49" spans="1:13" s="220" customFormat="1" ht="20.25" customHeight="1">
      <c r="A49" s="191" t="s">
        <v>929</v>
      </c>
      <c r="B49" s="182">
        <v>1957</v>
      </c>
      <c r="C49" s="182">
        <v>14</v>
      </c>
      <c r="D49" s="182">
        <v>55</v>
      </c>
      <c r="E49" s="182">
        <v>0</v>
      </c>
      <c r="F49" s="182">
        <v>216</v>
      </c>
      <c r="G49" s="182">
        <v>0</v>
      </c>
      <c r="H49" s="182">
        <v>1810</v>
      </c>
      <c r="I49" s="166"/>
      <c r="J49" s="187">
        <f t="shared" si="27"/>
        <v>9.3796296296296298</v>
      </c>
      <c r="K49" s="188">
        <f t="shared" si="28"/>
        <v>89.338598223099709</v>
      </c>
      <c r="L49" s="188">
        <f t="shared" si="29"/>
        <v>10.661401776900297</v>
      </c>
      <c r="M49" s="189">
        <f t="shared" si="30"/>
        <v>0</v>
      </c>
    </row>
    <row r="50" spans="1:13" s="220" customFormat="1" ht="20.25" customHeight="1">
      <c r="A50" s="191" t="s">
        <v>930</v>
      </c>
      <c r="B50" s="182">
        <v>1514</v>
      </c>
      <c r="C50" s="182">
        <v>687</v>
      </c>
      <c r="D50" s="182">
        <v>211</v>
      </c>
      <c r="E50" s="182">
        <v>0</v>
      </c>
      <c r="F50" s="182">
        <v>482</v>
      </c>
      <c r="G50" s="182">
        <v>0</v>
      </c>
      <c r="H50" s="182">
        <v>1930</v>
      </c>
      <c r="I50" s="166"/>
      <c r="J50" s="187">
        <f t="shared" si="27"/>
        <v>5.004149377593361</v>
      </c>
      <c r="K50" s="188">
        <f t="shared" si="28"/>
        <v>80.016583747927029</v>
      </c>
      <c r="L50" s="188">
        <f t="shared" si="29"/>
        <v>19.983416252072971</v>
      </c>
      <c r="M50" s="189">
        <f t="shared" si="30"/>
        <v>0</v>
      </c>
    </row>
    <row r="51" spans="1:13" s="220" customFormat="1" ht="20.25" customHeight="1">
      <c r="A51" s="191" t="s">
        <v>301</v>
      </c>
      <c r="B51" s="182">
        <v>1392</v>
      </c>
      <c r="C51" s="182">
        <v>401</v>
      </c>
      <c r="D51" s="182">
        <v>163</v>
      </c>
      <c r="E51" s="182">
        <v>0</v>
      </c>
      <c r="F51" s="182">
        <v>202</v>
      </c>
      <c r="G51" s="182">
        <v>51</v>
      </c>
      <c r="H51" s="182">
        <v>1703</v>
      </c>
      <c r="I51" s="166"/>
      <c r="J51" s="187">
        <f t="shared" si="27"/>
        <v>9.6831683168316829</v>
      </c>
      <c r="K51" s="188">
        <f t="shared" si="28"/>
        <v>87.065439672801631</v>
      </c>
      <c r="L51" s="188">
        <f t="shared" si="29"/>
        <v>10.327198364008181</v>
      </c>
      <c r="M51" s="189">
        <f t="shared" si="30"/>
        <v>2.6073619631901841</v>
      </c>
    </row>
    <row r="52" spans="1:13" s="220" customFormat="1" ht="20.25" customHeight="1">
      <c r="A52" s="191" t="s">
        <v>133</v>
      </c>
      <c r="B52" s="182">
        <v>1089</v>
      </c>
      <c r="C52" s="182">
        <v>186</v>
      </c>
      <c r="D52" s="182">
        <v>225</v>
      </c>
      <c r="E52" s="182">
        <v>0</v>
      </c>
      <c r="F52" s="182">
        <v>220</v>
      </c>
      <c r="G52" s="182">
        <v>200</v>
      </c>
      <c r="H52" s="182">
        <v>1080</v>
      </c>
      <c r="I52" s="166"/>
      <c r="J52" s="187">
        <f t="shared" si="27"/>
        <v>6.8181818181818183</v>
      </c>
      <c r="K52" s="188">
        <f t="shared" si="28"/>
        <v>72</v>
      </c>
      <c r="L52" s="188">
        <f t="shared" si="29"/>
        <v>14.666666666666666</v>
      </c>
      <c r="M52" s="189">
        <f t="shared" si="30"/>
        <v>13.333333333333334</v>
      </c>
    </row>
    <row r="53" spans="1:13" s="220" customFormat="1" ht="20.25" customHeight="1">
      <c r="A53" s="195"/>
      <c r="B53" s="182"/>
      <c r="C53" s="182"/>
      <c r="D53" s="182"/>
      <c r="E53" s="182"/>
      <c r="F53" s="182"/>
      <c r="G53" s="182"/>
      <c r="H53" s="182"/>
      <c r="I53" s="166"/>
      <c r="J53" s="183"/>
      <c r="K53" s="188"/>
      <c r="L53" s="188"/>
      <c r="M53" s="189"/>
    </row>
    <row r="54" spans="1:13" s="220" customFormat="1" ht="20.25" customHeight="1">
      <c r="A54" s="260" t="s">
        <v>303</v>
      </c>
      <c r="B54" s="169">
        <f t="shared" ref="B54:H54" si="31">SUM(B55:B61)</f>
        <v>21577</v>
      </c>
      <c r="C54" s="169">
        <f t="shared" si="31"/>
        <v>4600</v>
      </c>
      <c r="D54" s="169">
        <f t="shared" si="31"/>
        <v>2602</v>
      </c>
      <c r="E54" s="169">
        <v>14</v>
      </c>
      <c r="F54" s="169">
        <f t="shared" si="31"/>
        <v>3681</v>
      </c>
      <c r="G54" s="169">
        <f t="shared" si="31"/>
        <v>5238</v>
      </c>
      <c r="H54" s="169">
        <f t="shared" si="31"/>
        <v>19874</v>
      </c>
      <c r="I54" s="401"/>
      <c r="J54" s="183">
        <f t="shared" ref="J54:J61" si="32">SUM(B54:E54)/F54</f>
        <v>7.8220592230372183</v>
      </c>
      <c r="K54" s="184">
        <f t="shared" ref="K54:K61" si="33">(H54/SUM(B54:E54))*100</f>
        <v>69.023721043309138</v>
      </c>
      <c r="L54" s="184">
        <f t="shared" ref="L54:L61" si="34">(F54/SUM(B54:E54))*100</f>
        <v>12.784357309068175</v>
      </c>
      <c r="M54" s="185">
        <f t="shared" ref="M54:M61" si="35">(G54/SUM(B54:E54))*100</f>
        <v>18.191921647622685</v>
      </c>
    </row>
    <row r="55" spans="1:13" ht="20.25" customHeight="1">
      <c r="A55" s="213" t="s">
        <v>134</v>
      </c>
      <c r="B55" s="182">
        <v>10042</v>
      </c>
      <c r="C55" s="182">
        <v>2036</v>
      </c>
      <c r="D55" s="182">
        <v>1007</v>
      </c>
      <c r="E55" s="182">
        <v>13</v>
      </c>
      <c r="F55" s="182">
        <v>1320</v>
      </c>
      <c r="G55" s="182">
        <v>2579</v>
      </c>
      <c r="H55" s="182">
        <v>9199</v>
      </c>
      <c r="I55" s="166"/>
      <c r="J55" s="187">
        <f t="shared" si="32"/>
        <v>9.922727272727272</v>
      </c>
      <c r="K55" s="188">
        <f t="shared" si="33"/>
        <v>70.232096503282946</v>
      </c>
      <c r="L55" s="188">
        <f t="shared" si="34"/>
        <v>10.077874484654146</v>
      </c>
      <c r="M55" s="189">
        <f t="shared" si="35"/>
        <v>19.690029012062908</v>
      </c>
    </row>
    <row r="56" spans="1:13" s="220" customFormat="1" ht="20.25" customHeight="1">
      <c r="A56" s="213" t="s">
        <v>135</v>
      </c>
      <c r="B56" s="182">
        <v>3284</v>
      </c>
      <c r="C56" s="182">
        <v>943</v>
      </c>
      <c r="D56" s="182">
        <v>305</v>
      </c>
      <c r="E56" s="182">
        <v>0</v>
      </c>
      <c r="F56" s="182">
        <v>437</v>
      </c>
      <c r="G56" s="182">
        <v>711</v>
      </c>
      <c r="H56" s="182">
        <v>3384</v>
      </c>
      <c r="I56" s="166"/>
      <c r="J56" s="187">
        <f t="shared" si="32"/>
        <v>10.370709382151031</v>
      </c>
      <c r="K56" s="188">
        <f t="shared" si="33"/>
        <v>74.669020300088263</v>
      </c>
      <c r="L56" s="188">
        <f t="shared" si="34"/>
        <v>9.6425419240953225</v>
      </c>
      <c r="M56" s="189">
        <f t="shared" si="35"/>
        <v>15.688437775816416</v>
      </c>
    </row>
    <row r="57" spans="1:13" s="220" customFormat="1" ht="20.25" customHeight="1">
      <c r="A57" s="191" t="s">
        <v>308</v>
      </c>
      <c r="B57" s="182">
        <v>2136</v>
      </c>
      <c r="C57" s="182">
        <v>569</v>
      </c>
      <c r="D57" s="182">
        <v>292</v>
      </c>
      <c r="E57" s="182">
        <v>1</v>
      </c>
      <c r="F57" s="182">
        <v>586</v>
      </c>
      <c r="G57" s="182">
        <v>194</v>
      </c>
      <c r="H57" s="182">
        <v>2218</v>
      </c>
      <c r="I57" s="166"/>
      <c r="J57" s="187">
        <f t="shared" si="32"/>
        <v>5.1160409556313997</v>
      </c>
      <c r="K57" s="188">
        <f t="shared" si="33"/>
        <v>73.982655103402266</v>
      </c>
      <c r="L57" s="188">
        <f t="shared" si="34"/>
        <v>19.546364242828552</v>
      </c>
      <c r="M57" s="189">
        <f t="shared" si="35"/>
        <v>6.4709806537691792</v>
      </c>
    </row>
    <row r="58" spans="1:13" s="220" customFormat="1" ht="20.25" customHeight="1">
      <c r="A58" s="191" t="s">
        <v>309</v>
      </c>
      <c r="B58" s="182">
        <v>417</v>
      </c>
      <c r="C58" s="182">
        <v>97</v>
      </c>
      <c r="D58" s="182">
        <v>34</v>
      </c>
      <c r="E58" s="182">
        <v>0</v>
      </c>
      <c r="F58" s="182">
        <v>60</v>
      </c>
      <c r="G58" s="182">
        <v>100</v>
      </c>
      <c r="H58" s="182">
        <v>388</v>
      </c>
      <c r="I58" s="166"/>
      <c r="J58" s="187">
        <f t="shared" si="32"/>
        <v>9.1333333333333329</v>
      </c>
      <c r="K58" s="188">
        <f t="shared" si="33"/>
        <v>70.802919708029194</v>
      </c>
      <c r="L58" s="188">
        <f t="shared" si="34"/>
        <v>10.948905109489052</v>
      </c>
      <c r="M58" s="189">
        <f t="shared" si="35"/>
        <v>18.248175182481752</v>
      </c>
    </row>
    <row r="59" spans="1:13" s="220" customFormat="1" ht="20.25" customHeight="1">
      <c r="A59" s="191" t="s">
        <v>310</v>
      </c>
      <c r="B59" s="182">
        <v>3885</v>
      </c>
      <c r="C59" s="182">
        <v>646</v>
      </c>
      <c r="D59" s="182">
        <v>645</v>
      </c>
      <c r="E59" s="182">
        <v>0</v>
      </c>
      <c r="F59" s="182">
        <v>515</v>
      </c>
      <c r="G59" s="182">
        <v>1596</v>
      </c>
      <c r="H59" s="182">
        <v>3065</v>
      </c>
      <c r="I59" s="166"/>
      <c r="J59" s="187">
        <f t="shared" si="32"/>
        <v>10.050485436893204</v>
      </c>
      <c r="K59" s="188">
        <f t="shared" si="33"/>
        <v>59.215610510046368</v>
      </c>
      <c r="L59" s="188">
        <f t="shared" si="34"/>
        <v>9.9497681607418862</v>
      </c>
      <c r="M59" s="189">
        <f t="shared" si="35"/>
        <v>30.834621329211746</v>
      </c>
    </row>
    <row r="60" spans="1:13" s="220" customFormat="1" ht="20.25" customHeight="1">
      <c r="A60" s="191" t="s">
        <v>311</v>
      </c>
      <c r="B60" s="182">
        <v>692</v>
      </c>
      <c r="C60" s="182">
        <v>144</v>
      </c>
      <c r="D60" s="182">
        <v>161</v>
      </c>
      <c r="E60" s="182">
        <v>0</v>
      </c>
      <c r="F60" s="182">
        <v>231</v>
      </c>
      <c r="G60" s="182">
        <v>40</v>
      </c>
      <c r="H60" s="182">
        <v>726</v>
      </c>
      <c r="I60" s="166"/>
      <c r="J60" s="187">
        <f t="shared" si="32"/>
        <v>4.3160173160173159</v>
      </c>
      <c r="K60" s="188">
        <f t="shared" si="33"/>
        <v>72.818455366098306</v>
      </c>
      <c r="L60" s="188">
        <f t="shared" si="34"/>
        <v>23.169508525576727</v>
      </c>
      <c r="M60" s="189">
        <f t="shared" si="35"/>
        <v>4.0120361083249749</v>
      </c>
    </row>
    <row r="61" spans="1:13" s="220" customFormat="1" ht="20.25" customHeight="1">
      <c r="A61" s="191" t="s">
        <v>921</v>
      </c>
      <c r="B61" s="182">
        <v>1121</v>
      </c>
      <c r="C61" s="182">
        <v>165</v>
      </c>
      <c r="D61" s="182">
        <v>158</v>
      </c>
      <c r="E61" s="182">
        <v>0</v>
      </c>
      <c r="F61" s="182">
        <v>532</v>
      </c>
      <c r="G61" s="182">
        <v>18</v>
      </c>
      <c r="H61" s="182">
        <v>894</v>
      </c>
      <c r="I61" s="166"/>
      <c r="J61" s="187">
        <f t="shared" si="32"/>
        <v>2.7142857142857144</v>
      </c>
      <c r="K61" s="188">
        <f t="shared" si="33"/>
        <v>61.911357340720215</v>
      </c>
      <c r="L61" s="188">
        <f t="shared" si="34"/>
        <v>36.84210526315789</v>
      </c>
      <c r="M61" s="189">
        <f t="shared" si="35"/>
        <v>1.2465373961218837</v>
      </c>
    </row>
    <row r="62" spans="1:13" s="220" customFormat="1" ht="20.25" customHeight="1">
      <c r="A62" s="261"/>
      <c r="B62" s="182"/>
      <c r="C62" s="182"/>
      <c r="D62" s="182"/>
      <c r="E62" s="182"/>
      <c r="F62" s="182"/>
      <c r="G62" s="182"/>
      <c r="H62" s="182"/>
      <c r="I62" s="166"/>
      <c r="J62" s="183"/>
      <c r="K62" s="188"/>
      <c r="L62" s="188"/>
      <c r="M62" s="189"/>
    </row>
    <row r="63" spans="1:13" s="220" customFormat="1" ht="20.25" customHeight="1">
      <c r="A63" s="260" t="s">
        <v>812</v>
      </c>
      <c r="B63" s="169">
        <f t="shared" ref="B63:H63" si="36">SUM(B64:B69)</f>
        <v>17531</v>
      </c>
      <c r="C63" s="169">
        <f t="shared" si="36"/>
        <v>3749</v>
      </c>
      <c r="D63" s="169">
        <f t="shared" si="36"/>
        <v>1259</v>
      </c>
      <c r="E63" s="169">
        <v>0</v>
      </c>
      <c r="F63" s="169">
        <f t="shared" si="36"/>
        <v>2466</v>
      </c>
      <c r="G63" s="169">
        <f t="shared" si="36"/>
        <v>4709</v>
      </c>
      <c r="H63" s="169">
        <f t="shared" si="36"/>
        <v>15364</v>
      </c>
      <c r="I63" s="401"/>
      <c r="J63" s="183">
        <f t="shared" ref="J63:J69" si="37">SUM(B63:E63)/F63</f>
        <v>9.1399026763990268</v>
      </c>
      <c r="K63" s="184">
        <f t="shared" ref="K63:K69" si="38">(H63/SUM(B63:E63))*100</f>
        <v>68.166289542570652</v>
      </c>
      <c r="L63" s="184">
        <f t="shared" ref="L63:L69" si="39">(F63/SUM(B63:E63))*100</f>
        <v>10.941035538400106</v>
      </c>
      <c r="M63" s="185">
        <f t="shared" ref="M63:M69" si="40">(G63/SUM(B63:E63))*100</f>
        <v>20.89267491902924</v>
      </c>
    </row>
    <row r="64" spans="1:13" s="220" customFormat="1" ht="20.25" customHeight="1">
      <c r="A64" s="213" t="s">
        <v>136</v>
      </c>
      <c r="B64" s="182">
        <v>8977</v>
      </c>
      <c r="C64" s="182">
        <v>1793</v>
      </c>
      <c r="D64" s="182">
        <v>370</v>
      </c>
      <c r="E64" s="182">
        <v>0</v>
      </c>
      <c r="F64" s="182">
        <v>1106</v>
      </c>
      <c r="G64" s="182">
        <v>2898</v>
      </c>
      <c r="H64" s="182">
        <v>7136</v>
      </c>
      <c r="I64" s="166"/>
      <c r="J64" s="187">
        <f t="shared" si="37"/>
        <v>10.072332730560579</v>
      </c>
      <c r="K64" s="188">
        <f t="shared" si="38"/>
        <v>64.057450628366254</v>
      </c>
      <c r="L64" s="188">
        <f t="shared" si="39"/>
        <v>9.9281867145421909</v>
      </c>
      <c r="M64" s="189">
        <f t="shared" si="40"/>
        <v>26.01436265709156</v>
      </c>
    </row>
    <row r="65" spans="1:13" s="220" customFormat="1" ht="20.25" customHeight="1">
      <c r="A65" s="191" t="s">
        <v>816</v>
      </c>
      <c r="B65" s="182">
        <v>1293</v>
      </c>
      <c r="C65" s="182">
        <v>343</v>
      </c>
      <c r="D65" s="182">
        <v>63</v>
      </c>
      <c r="E65" s="182">
        <v>0</v>
      </c>
      <c r="F65" s="182">
        <v>350</v>
      </c>
      <c r="G65" s="182">
        <v>496</v>
      </c>
      <c r="H65" s="182">
        <v>853</v>
      </c>
      <c r="I65" s="166"/>
      <c r="J65" s="187">
        <f t="shared" si="37"/>
        <v>4.8542857142857141</v>
      </c>
      <c r="K65" s="188">
        <f t="shared" si="38"/>
        <v>50.20600353148911</v>
      </c>
      <c r="L65" s="188">
        <f t="shared" si="39"/>
        <v>20.600353148911125</v>
      </c>
      <c r="M65" s="189">
        <f t="shared" si="40"/>
        <v>29.193643319599765</v>
      </c>
    </row>
    <row r="66" spans="1:13" s="220" customFormat="1" ht="20.25" customHeight="1">
      <c r="A66" s="191" t="s">
        <v>817</v>
      </c>
      <c r="B66" s="182">
        <v>785</v>
      </c>
      <c r="C66" s="182">
        <v>188</v>
      </c>
      <c r="D66" s="182">
        <v>23</v>
      </c>
      <c r="E66" s="182">
        <v>0</v>
      </c>
      <c r="F66" s="182">
        <v>110</v>
      </c>
      <c r="G66" s="182">
        <v>24</v>
      </c>
      <c r="H66" s="182">
        <v>862</v>
      </c>
      <c r="I66" s="166"/>
      <c r="J66" s="187">
        <f t="shared" si="37"/>
        <v>9.0545454545454547</v>
      </c>
      <c r="K66" s="188">
        <f t="shared" si="38"/>
        <v>86.546184738955816</v>
      </c>
      <c r="L66" s="188">
        <f t="shared" si="39"/>
        <v>11.04417670682731</v>
      </c>
      <c r="M66" s="189">
        <f t="shared" si="40"/>
        <v>2.4096385542168677</v>
      </c>
    </row>
    <row r="67" spans="1:13" s="220" customFormat="1" ht="20.25" customHeight="1">
      <c r="A67" s="191" t="s">
        <v>137</v>
      </c>
      <c r="B67" s="182">
        <v>2838</v>
      </c>
      <c r="C67" s="182">
        <v>634</v>
      </c>
      <c r="D67" s="182">
        <v>493</v>
      </c>
      <c r="E67" s="182">
        <v>0</v>
      </c>
      <c r="F67" s="182">
        <v>430</v>
      </c>
      <c r="G67" s="182">
        <v>941</v>
      </c>
      <c r="H67" s="182">
        <v>2594</v>
      </c>
      <c r="I67" s="166"/>
      <c r="J67" s="187">
        <f t="shared" si="37"/>
        <v>9.220930232558139</v>
      </c>
      <c r="K67" s="188">
        <f t="shared" si="38"/>
        <v>65.422446406052956</v>
      </c>
      <c r="L67" s="188">
        <f t="shared" si="39"/>
        <v>10.844892812105927</v>
      </c>
      <c r="M67" s="189">
        <f t="shared" si="40"/>
        <v>23.732660781841108</v>
      </c>
    </row>
    <row r="68" spans="1:13" s="220" customFormat="1" ht="20.25" customHeight="1">
      <c r="A68" s="191" t="s">
        <v>922</v>
      </c>
      <c r="B68" s="182">
        <v>2352</v>
      </c>
      <c r="C68" s="182">
        <v>553</v>
      </c>
      <c r="D68" s="182">
        <v>292</v>
      </c>
      <c r="E68" s="182">
        <v>0</v>
      </c>
      <c r="F68" s="182">
        <v>298</v>
      </c>
      <c r="G68" s="182">
        <v>311</v>
      </c>
      <c r="H68" s="182">
        <v>2588</v>
      </c>
      <c r="I68" s="166"/>
      <c r="J68" s="187">
        <f t="shared" si="37"/>
        <v>10.728187919463087</v>
      </c>
      <c r="K68" s="188">
        <f t="shared" si="38"/>
        <v>80.950891460744444</v>
      </c>
      <c r="L68" s="188">
        <f t="shared" si="39"/>
        <v>9.3212386612449176</v>
      </c>
      <c r="M68" s="189">
        <f t="shared" si="40"/>
        <v>9.727869878010635</v>
      </c>
    </row>
    <row r="69" spans="1:13" s="220" customFormat="1" ht="20.25" customHeight="1">
      <c r="A69" s="191" t="s">
        <v>138</v>
      </c>
      <c r="B69" s="182">
        <v>1286</v>
      </c>
      <c r="C69" s="182">
        <v>238</v>
      </c>
      <c r="D69" s="182">
        <v>18</v>
      </c>
      <c r="E69" s="182">
        <v>0</v>
      </c>
      <c r="F69" s="182">
        <v>172</v>
      </c>
      <c r="G69" s="182">
        <v>39</v>
      </c>
      <c r="H69" s="182">
        <v>1331</v>
      </c>
      <c r="I69" s="166"/>
      <c r="J69" s="187">
        <f t="shared" si="37"/>
        <v>8.9651162790697683</v>
      </c>
      <c r="K69" s="188">
        <f t="shared" si="38"/>
        <v>86.316472114137483</v>
      </c>
      <c r="L69" s="188">
        <f t="shared" si="39"/>
        <v>11.154345006485086</v>
      </c>
      <c r="M69" s="189">
        <f t="shared" si="40"/>
        <v>2.5291828793774318</v>
      </c>
    </row>
    <row r="70" spans="1:13" s="220" customFormat="1" ht="20.25" customHeight="1">
      <c r="A70" s="261"/>
      <c r="B70" s="182"/>
      <c r="C70" s="182"/>
      <c r="D70" s="182"/>
      <c r="E70" s="182"/>
      <c r="F70" s="182"/>
      <c r="G70" s="182"/>
      <c r="H70" s="182"/>
      <c r="I70" s="166"/>
      <c r="J70" s="183"/>
      <c r="K70" s="188"/>
      <c r="L70" s="188"/>
      <c r="M70" s="189"/>
    </row>
    <row r="71" spans="1:13" s="220" customFormat="1" ht="20.25" customHeight="1">
      <c r="A71" s="260" t="s">
        <v>820</v>
      </c>
      <c r="B71" s="169">
        <f t="shared" ref="B71:H71" si="41">SUM(B72:B77)</f>
        <v>8916</v>
      </c>
      <c r="C71" s="169">
        <f t="shared" si="41"/>
        <v>1796</v>
      </c>
      <c r="D71" s="169">
        <f t="shared" si="41"/>
        <v>602</v>
      </c>
      <c r="E71" s="169">
        <v>4</v>
      </c>
      <c r="F71" s="169">
        <f t="shared" si="41"/>
        <v>1191</v>
      </c>
      <c r="G71" s="169">
        <f t="shared" si="41"/>
        <v>2048</v>
      </c>
      <c r="H71" s="169">
        <f t="shared" si="41"/>
        <v>8079</v>
      </c>
      <c r="I71" s="401"/>
      <c r="J71" s="183">
        <f t="shared" ref="J71:J77" si="42">SUM(B71:E71)/F71</f>
        <v>9.5029387069689335</v>
      </c>
      <c r="K71" s="184">
        <f t="shared" ref="K71:K77" si="43">(H71/SUM(B71:E71))*100</f>
        <v>71.381869588266483</v>
      </c>
      <c r="L71" s="184">
        <f t="shared" ref="L71:L77" si="44">(F71/SUM(B71:E71))*100</f>
        <v>10.523060611415444</v>
      </c>
      <c r="M71" s="185">
        <f t="shared" ref="M71:M77" si="45">(G71/SUM(B71:E71))*100</f>
        <v>18.095069800318079</v>
      </c>
    </row>
    <row r="72" spans="1:13" s="220" customFormat="1" ht="20.25" customHeight="1">
      <c r="A72" s="191" t="s">
        <v>139</v>
      </c>
      <c r="B72" s="182">
        <v>4035</v>
      </c>
      <c r="C72" s="182">
        <v>778</v>
      </c>
      <c r="D72" s="182">
        <v>233</v>
      </c>
      <c r="E72" s="182">
        <v>3</v>
      </c>
      <c r="F72" s="182">
        <v>328</v>
      </c>
      <c r="G72" s="182">
        <v>1356</v>
      </c>
      <c r="H72" s="182">
        <v>3365</v>
      </c>
      <c r="I72" s="166"/>
      <c r="J72" s="187">
        <f t="shared" si="42"/>
        <v>15.393292682926829</v>
      </c>
      <c r="K72" s="188">
        <f t="shared" si="43"/>
        <v>66.646860764507821</v>
      </c>
      <c r="L72" s="188">
        <f t="shared" si="44"/>
        <v>6.4963359081006145</v>
      </c>
      <c r="M72" s="189">
        <f t="shared" si="45"/>
        <v>26.856803327391564</v>
      </c>
    </row>
    <row r="73" spans="1:13" s="220" customFormat="1" ht="20.25" customHeight="1">
      <c r="A73" s="191" t="s">
        <v>140</v>
      </c>
      <c r="B73" s="182">
        <v>930</v>
      </c>
      <c r="C73" s="182">
        <v>266</v>
      </c>
      <c r="D73" s="182">
        <v>61</v>
      </c>
      <c r="E73" s="182">
        <v>1</v>
      </c>
      <c r="F73" s="182">
        <v>175</v>
      </c>
      <c r="G73" s="182">
        <v>182</v>
      </c>
      <c r="H73" s="182">
        <v>901</v>
      </c>
      <c r="I73" s="166"/>
      <c r="J73" s="187">
        <f t="shared" si="42"/>
        <v>7.1885714285714286</v>
      </c>
      <c r="K73" s="188">
        <f t="shared" si="43"/>
        <v>71.621621621621628</v>
      </c>
      <c r="L73" s="188">
        <f t="shared" si="44"/>
        <v>13.910969793322733</v>
      </c>
      <c r="M73" s="189">
        <f t="shared" si="45"/>
        <v>14.467408585055644</v>
      </c>
    </row>
    <row r="74" spans="1:13" s="220" customFormat="1" ht="20.25" customHeight="1">
      <c r="A74" s="191" t="s">
        <v>825</v>
      </c>
      <c r="B74" s="182">
        <v>796</v>
      </c>
      <c r="C74" s="182">
        <v>177</v>
      </c>
      <c r="D74" s="182">
        <v>97</v>
      </c>
      <c r="E74" s="182">
        <v>0</v>
      </c>
      <c r="F74" s="182">
        <v>73</v>
      </c>
      <c r="G74" s="182">
        <v>344</v>
      </c>
      <c r="H74" s="182">
        <v>653</v>
      </c>
      <c r="I74" s="166"/>
      <c r="J74" s="187">
        <f t="shared" si="42"/>
        <v>14.657534246575343</v>
      </c>
      <c r="K74" s="188">
        <f t="shared" si="43"/>
        <v>61.028037383177569</v>
      </c>
      <c r="L74" s="188">
        <f t="shared" si="44"/>
        <v>6.8224299065420562</v>
      </c>
      <c r="M74" s="189">
        <f t="shared" si="45"/>
        <v>32.149532710280376</v>
      </c>
    </row>
    <row r="75" spans="1:13" s="220" customFormat="1" ht="20.25" customHeight="1">
      <c r="A75" s="191" t="s">
        <v>141</v>
      </c>
      <c r="B75" s="182">
        <v>1643</v>
      </c>
      <c r="C75" s="182">
        <v>298</v>
      </c>
      <c r="D75" s="182">
        <v>158</v>
      </c>
      <c r="E75" s="182">
        <v>0</v>
      </c>
      <c r="F75" s="182">
        <v>392</v>
      </c>
      <c r="G75" s="182">
        <v>166</v>
      </c>
      <c r="H75" s="182">
        <v>1541</v>
      </c>
      <c r="I75" s="166"/>
      <c r="J75" s="187">
        <f t="shared" si="42"/>
        <v>5.3545918367346941</v>
      </c>
      <c r="K75" s="188">
        <f t="shared" si="43"/>
        <v>73.415912339209143</v>
      </c>
      <c r="L75" s="188">
        <f t="shared" si="44"/>
        <v>18.675559790376369</v>
      </c>
      <c r="M75" s="189">
        <f t="shared" si="45"/>
        <v>7.908527870414483</v>
      </c>
    </row>
    <row r="76" spans="1:13" s="220" customFormat="1" ht="20.25" customHeight="1">
      <c r="A76" s="191" t="s">
        <v>827</v>
      </c>
      <c r="B76" s="182">
        <v>873</v>
      </c>
      <c r="C76" s="182">
        <v>136</v>
      </c>
      <c r="D76" s="182">
        <v>15</v>
      </c>
      <c r="E76" s="182">
        <v>0</v>
      </c>
      <c r="F76" s="182">
        <v>147</v>
      </c>
      <c r="G76" s="182">
        <v>0</v>
      </c>
      <c r="H76" s="182">
        <v>877</v>
      </c>
      <c r="I76" s="166"/>
      <c r="J76" s="187">
        <f t="shared" si="42"/>
        <v>6.9659863945578229</v>
      </c>
      <c r="K76" s="188">
        <f t="shared" si="43"/>
        <v>85.64453125</v>
      </c>
      <c r="L76" s="188">
        <f t="shared" si="44"/>
        <v>14.35546875</v>
      </c>
      <c r="M76" s="189">
        <f t="shared" si="45"/>
        <v>0</v>
      </c>
    </row>
    <row r="77" spans="1:13" s="247" customFormat="1" ht="20.25" customHeight="1">
      <c r="A77" s="191" t="s">
        <v>142</v>
      </c>
      <c r="B77" s="182">
        <v>639</v>
      </c>
      <c r="C77" s="182">
        <v>141</v>
      </c>
      <c r="D77" s="182">
        <v>38</v>
      </c>
      <c r="E77" s="182">
        <v>0</v>
      </c>
      <c r="F77" s="182">
        <v>76</v>
      </c>
      <c r="G77" s="182">
        <v>0</v>
      </c>
      <c r="H77" s="182">
        <v>742</v>
      </c>
      <c r="I77" s="166"/>
      <c r="J77" s="187">
        <f t="shared" si="42"/>
        <v>10.763157894736842</v>
      </c>
      <c r="K77" s="188">
        <f t="shared" si="43"/>
        <v>90.70904645476773</v>
      </c>
      <c r="L77" s="188">
        <f t="shared" si="44"/>
        <v>9.2909535452322736</v>
      </c>
      <c r="M77" s="189">
        <f t="shared" si="45"/>
        <v>0</v>
      </c>
    </row>
    <row r="78" spans="1:13" s="247" customFormat="1" ht="20.25" customHeight="1">
      <c r="A78" s="261"/>
      <c r="B78" s="182"/>
      <c r="C78" s="182"/>
      <c r="D78" s="182"/>
      <c r="E78" s="182"/>
      <c r="F78" s="182"/>
      <c r="G78" s="182"/>
      <c r="H78" s="182"/>
      <c r="I78" s="166"/>
      <c r="J78" s="183"/>
      <c r="K78" s="188"/>
      <c r="L78" s="188"/>
      <c r="M78" s="189"/>
    </row>
    <row r="79" spans="1:13" s="247" customFormat="1" ht="20.25" customHeight="1">
      <c r="A79" s="260" t="s">
        <v>829</v>
      </c>
      <c r="B79" s="169">
        <f t="shared" ref="B79:H79" si="46">SUM(B80:B85)</f>
        <v>7278</v>
      </c>
      <c r="C79" s="169">
        <f t="shared" si="46"/>
        <v>1445</v>
      </c>
      <c r="D79" s="169">
        <f t="shared" si="46"/>
        <v>1669</v>
      </c>
      <c r="E79" s="169">
        <v>0</v>
      </c>
      <c r="F79" s="169">
        <f t="shared" si="46"/>
        <v>2897</v>
      </c>
      <c r="G79" s="169">
        <f t="shared" si="46"/>
        <v>365</v>
      </c>
      <c r="H79" s="169">
        <f t="shared" si="46"/>
        <v>7130</v>
      </c>
      <c r="I79" s="401"/>
      <c r="J79" s="183">
        <f t="shared" ref="J79:J85" si="47">SUM(B79:E79)/F79</f>
        <v>3.587159130134622</v>
      </c>
      <c r="K79" s="184">
        <f t="shared" ref="K79:K85" si="48">(H79/SUM(B79:E79))*100</f>
        <v>68.610469591993834</v>
      </c>
      <c r="L79" s="184">
        <f t="shared" ref="L79:L85" si="49">(F79/SUM(B79:E79))*100</f>
        <v>27.877213240954578</v>
      </c>
      <c r="M79" s="185">
        <f t="shared" ref="M79:M85" si="50">(G79/SUM(B79:E79))*100</f>
        <v>3.5123171670515783</v>
      </c>
    </row>
    <row r="80" spans="1:13" s="247" customFormat="1" ht="20.25" customHeight="1">
      <c r="A80" s="191" t="s">
        <v>143</v>
      </c>
      <c r="B80" s="182">
        <v>2761</v>
      </c>
      <c r="C80" s="182">
        <v>430</v>
      </c>
      <c r="D80" s="182">
        <v>1335</v>
      </c>
      <c r="E80" s="182">
        <v>0</v>
      </c>
      <c r="F80" s="182">
        <v>1960</v>
      </c>
      <c r="G80" s="182">
        <v>3</v>
      </c>
      <c r="H80" s="182">
        <v>2563</v>
      </c>
      <c r="I80" s="166"/>
      <c r="J80" s="187">
        <f t="shared" si="47"/>
        <v>2.3091836734693878</v>
      </c>
      <c r="K80" s="188">
        <f t="shared" si="48"/>
        <v>56.628369421122407</v>
      </c>
      <c r="L80" s="188">
        <f t="shared" si="49"/>
        <v>43.30534688466637</v>
      </c>
      <c r="M80" s="189">
        <f t="shared" si="50"/>
        <v>6.6283694211224042E-2</v>
      </c>
    </row>
    <row r="81" spans="1:13" s="247" customFormat="1" ht="20.25" customHeight="1">
      <c r="A81" s="191" t="s">
        <v>832</v>
      </c>
      <c r="B81" s="182">
        <v>273</v>
      </c>
      <c r="C81" s="182">
        <v>119</v>
      </c>
      <c r="D81" s="182">
        <v>47</v>
      </c>
      <c r="E81" s="182">
        <v>0</v>
      </c>
      <c r="F81" s="182">
        <v>144</v>
      </c>
      <c r="G81" s="182">
        <v>45</v>
      </c>
      <c r="H81" s="182">
        <v>250</v>
      </c>
      <c r="I81" s="166"/>
      <c r="J81" s="187">
        <f t="shared" si="47"/>
        <v>3.0486111111111112</v>
      </c>
      <c r="K81" s="188">
        <f t="shared" si="48"/>
        <v>56.947608200455576</v>
      </c>
      <c r="L81" s="188">
        <f t="shared" si="49"/>
        <v>32.801822323462417</v>
      </c>
      <c r="M81" s="189">
        <f t="shared" si="50"/>
        <v>10.250569476082005</v>
      </c>
    </row>
    <row r="82" spans="1:13" s="247" customFormat="1" ht="20.25" customHeight="1">
      <c r="A82" s="213" t="s">
        <v>923</v>
      </c>
      <c r="B82" s="182">
        <v>1852</v>
      </c>
      <c r="C82" s="182">
        <v>457</v>
      </c>
      <c r="D82" s="182">
        <v>164</v>
      </c>
      <c r="E82" s="182">
        <v>0</v>
      </c>
      <c r="F82" s="182">
        <v>392</v>
      </c>
      <c r="G82" s="182">
        <v>191</v>
      </c>
      <c r="H82" s="182">
        <v>1890</v>
      </c>
      <c r="I82" s="166"/>
      <c r="J82" s="187">
        <f t="shared" si="47"/>
        <v>6.3086734693877551</v>
      </c>
      <c r="K82" s="188">
        <f t="shared" si="48"/>
        <v>76.425394257986255</v>
      </c>
      <c r="L82" s="188">
        <f t="shared" si="49"/>
        <v>15.851192883137887</v>
      </c>
      <c r="M82" s="189">
        <f t="shared" si="50"/>
        <v>7.7234128588758599</v>
      </c>
    </row>
    <row r="83" spans="1:13" s="247" customFormat="1" ht="20.25" customHeight="1">
      <c r="A83" s="191" t="s">
        <v>144</v>
      </c>
      <c r="B83" s="182">
        <v>1647</v>
      </c>
      <c r="C83" s="182">
        <v>281</v>
      </c>
      <c r="D83" s="182">
        <v>24</v>
      </c>
      <c r="E83" s="182">
        <v>0</v>
      </c>
      <c r="F83" s="182">
        <v>302</v>
      </c>
      <c r="G83" s="182">
        <v>0</v>
      </c>
      <c r="H83" s="182">
        <v>1650</v>
      </c>
      <c r="I83" s="166"/>
      <c r="J83" s="187">
        <f t="shared" si="47"/>
        <v>6.4635761589403975</v>
      </c>
      <c r="K83" s="188">
        <f t="shared" si="48"/>
        <v>84.528688524590166</v>
      </c>
      <c r="L83" s="188">
        <f t="shared" si="49"/>
        <v>15.471311475409836</v>
      </c>
      <c r="M83" s="189">
        <f t="shared" si="50"/>
        <v>0</v>
      </c>
    </row>
    <row r="84" spans="1:13" s="247" customFormat="1" ht="20.25" customHeight="1">
      <c r="A84" s="191" t="s">
        <v>834</v>
      </c>
      <c r="B84" s="182">
        <v>200</v>
      </c>
      <c r="C84" s="182">
        <v>40</v>
      </c>
      <c r="D84" s="182">
        <v>42</v>
      </c>
      <c r="E84" s="182">
        <v>0</v>
      </c>
      <c r="F84" s="182">
        <v>40</v>
      </c>
      <c r="G84" s="182">
        <v>0</v>
      </c>
      <c r="H84" s="182">
        <v>242</v>
      </c>
      <c r="I84" s="166"/>
      <c r="J84" s="187">
        <f t="shared" si="47"/>
        <v>7.05</v>
      </c>
      <c r="K84" s="188">
        <f t="shared" si="48"/>
        <v>85.815602836879435</v>
      </c>
      <c r="L84" s="188">
        <f t="shared" si="49"/>
        <v>14.184397163120568</v>
      </c>
      <c r="M84" s="189">
        <f t="shared" si="50"/>
        <v>0</v>
      </c>
    </row>
    <row r="85" spans="1:13" s="247" customFormat="1" ht="20.25" customHeight="1">
      <c r="A85" s="191" t="s">
        <v>835</v>
      </c>
      <c r="B85" s="182">
        <v>545</v>
      </c>
      <c r="C85" s="182">
        <v>118</v>
      </c>
      <c r="D85" s="182">
        <v>57</v>
      </c>
      <c r="E85" s="182">
        <v>0</v>
      </c>
      <c r="F85" s="182">
        <v>59</v>
      </c>
      <c r="G85" s="182">
        <v>126</v>
      </c>
      <c r="H85" s="182">
        <v>535</v>
      </c>
      <c r="I85" s="166"/>
      <c r="J85" s="187">
        <f t="shared" si="47"/>
        <v>12.203389830508474</v>
      </c>
      <c r="K85" s="188">
        <f t="shared" si="48"/>
        <v>74.305555555555557</v>
      </c>
      <c r="L85" s="188">
        <f t="shared" si="49"/>
        <v>8.1944444444444446</v>
      </c>
      <c r="M85" s="189">
        <f t="shared" si="50"/>
        <v>17.5</v>
      </c>
    </row>
    <row r="86" spans="1:13" s="247" customFormat="1" ht="20.25" customHeight="1">
      <c r="A86" s="261"/>
      <c r="B86" s="182"/>
      <c r="C86" s="182"/>
      <c r="D86" s="182"/>
      <c r="E86" s="182"/>
      <c r="F86" s="182"/>
      <c r="G86" s="182"/>
      <c r="H86" s="182"/>
      <c r="I86" s="166"/>
      <c r="J86" s="183"/>
      <c r="K86" s="188"/>
      <c r="L86" s="188"/>
      <c r="M86" s="189"/>
    </row>
    <row r="87" spans="1:13" s="220" customFormat="1" ht="20.25" customHeight="1">
      <c r="A87" s="260" t="s">
        <v>836</v>
      </c>
      <c r="B87" s="169">
        <f t="shared" ref="B87:H87" si="51">SUM(B88:B95)</f>
        <v>9890</v>
      </c>
      <c r="C87" s="169">
        <f t="shared" si="51"/>
        <v>2566</v>
      </c>
      <c r="D87" s="169">
        <f t="shared" si="51"/>
        <v>1851</v>
      </c>
      <c r="E87" s="169">
        <v>3</v>
      </c>
      <c r="F87" s="169">
        <f t="shared" si="51"/>
        <v>2358</v>
      </c>
      <c r="G87" s="169">
        <f t="shared" si="51"/>
        <v>1558</v>
      </c>
      <c r="H87" s="169">
        <f t="shared" si="51"/>
        <v>10394</v>
      </c>
      <c r="I87" s="401"/>
      <c r="J87" s="183">
        <f t="shared" ref="J87:J95" si="52">SUM(B87:E87)/F87</f>
        <v>6.0687022900763354</v>
      </c>
      <c r="K87" s="184">
        <f t="shared" ref="K87:K95" si="53">(H87/SUM(B87:E87))*100</f>
        <v>72.634521313766598</v>
      </c>
      <c r="L87" s="184">
        <f t="shared" ref="L87:L95" si="54">(F87/SUM(B87:E87))*100</f>
        <v>16.477987421383649</v>
      </c>
      <c r="M87" s="185">
        <f t="shared" ref="M87:M95" si="55">(G87/SUM(B87:E87))*100</f>
        <v>10.887491264849755</v>
      </c>
    </row>
    <row r="88" spans="1:13" s="220" customFormat="1" ht="20.25" customHeight="1">
      <c r="A88" s="213" t="s">
        <v>145</v>
      </c>
      <c r="B88" s="182">
        <v>4636</v>
      </c>
      <c r="C88" s="182">
        <v>1082</v>
      </c>
      <c r="D88" s="182">
        <v>1093</v>
      </c>
      <c r="E88" s="182">
        <v>3</v>
      </c>
      <c r="F88" s="182">
        <v>1031</v>
      </c>
      <c r="G88" s="182">
        <v>916</v>
      </c>
      <c r="H88" s="182">
        <v>4867</v>
      </c>
      <c r="I88" s="166"/>
      <c r="J88" s="187">
        <f t="shared" si="52"/>
        <v>6.6091173617846755</v>
      </c>
      <c r="K88" s="188">
        <f t="shared" si="53"/>
        <v>71.426474904608156</v>
      </c>
      <c r="L88" s="188">
        <f t="shared" si="54"/>
        <v>15.130613442911653</v>
      </c>
      <c r="M88" s="189">
        <f t="shared" si="55"/>
        <v>13.442911652480188</v>
      </c>
    </row>
    <row r="89" spans="1:13" s="247" customFormat="1" ht="20.25" customHeight="1">
      <c r="A89" s="191" t="s">
        <v>840</v>
      </c>
      <c r="B89" s="182">
        <v>1236</v>
      </c>
      <c r="C89" s="182">
        <v>341</v>
      </c>
      <c r="D89" s="182">
        <v>261</v>
      </c>
      <c r="E89" s="182">
        <v>0</v>
      </c>
      <c r="F89" s="182">
        <v>256</v>
      </c>
      <c r="G89" s="182">
        <v>75</v>
      </c>
      <c r="H89" s="182">
        <v>1507</v>
      </c>
      <c r="I89" s="166"/>
      <c r="J89" s="187">
        <f t="shared" si="52"/>
        <v>7.1796875</v>
      </c>
      <c r="K89" s="188">
        <f t="shared" si="53"/>
        <v>81.991294885745376</v>
      </c>
      <c r="L89" s="188">
        <f t="shared" si="54"/>
        <v>13.928182807399347</v>
      </c>
      <c r="M89" s="189">
        <f t="shared" si="55"/>
        <v>4.0805223068552774</v>
      </c>
    </row>
    <row r="90" spans="1:13" s="220" customFormat="1" ht="20.25" customHeight="1">
      <c r="A90" s="191" t="s">
        <v>841</v>
      </c>
      <c r="B90" s="182">
        <v>865</v>
      </c>
      <c r="C90" s="182">
        <v>141</v>
      </c>
      <c r="D90" s="182">
        <v>77</v>
      </c>
      <c r="E90" s="182">
        <v>0</v>
      </c>
      <c r="F90" s="182">
        <v>179</v>
      </c>
      <c r="G90" s="182">
        <v>0</v>
      </c>
      <c r="H90" s="182">
        <v>904</v>
      </c>
      <c r="I90" s="166"/>
      <c r="J90" s="187">
        <f t="shared" si="52"/>
        <v>6.0502793296089381</v>
      </c>
      <c r="K90" s="188">
        <f t="shared" si="53"/>
        <v>83.471837488457993</v>
      </c>
      <c r="L90" s="188">
        <f t="shared" si="54"/>
        <v>16.528162511542014</v>
      </c>
      <c r="M90" s="189">
        <f t="shared" si="55"/>
        <v>0</v>
      </c>
    </row>
    <row r="91" spans="1:13" s="220" customFormat="1" ht="20.25" customHeight="1">
      <c r="A91" s="191" t="s">
        <v>146</v>
      </c>
      <c r="B91" s="182">
        <v>764</v>
      </c>
      <c r="C91" s="182">
        <v>225</v>
      </c>
      <c r="D91" s="182">
        <v>102</v>
      </c>
      <c r="E91" s="182">
        <v>0</v>
      </c>
      <c r="F91" s="182">
        <v>146</v>
      </c>
      <c r="G91" s="182">
        <v>261</v>
      </c>
      <c r="H91" s="182">
        <v>684</v>
      </c>
      <c r="I91" s="166"/>
      <c r="J91" s="187">
        <f t="shared" si="52"/>
        <v>7.4726027397260273</v>
      </c>
      <c r="K91" s="188">
        <f t="shared" si="53"/>
        <v>62.694775435380393</v>
      </c>
      <c r="L91" s="188">
        <f t="shared" si="54"/>
        <v>13.382218148487626</v>
      </c>
      <c r="M91" s="189">
        <f t="shared" si="55"/>
        <v>23.92300641613199</v>
      </c>
    </row>
    <row r="92" spans="1:13" s="220" customFormat="1" ht="20.25" customHeight="1">
      <c r="A92" s="191" t="s">
        <v>844</v>
      </c>
      <c r="B92" s="182">
        <v>570</v>
      </c>
      <c r="C92" s="182">
        <v>113</v>
      </c>
      <c r="D92" s="182">
        <v>108</v>
      </c>
      <c r="E92" s="182">
        <v>0</v>
      </c>
      <c r="F92" s="182">
        <v>131</v>
      </c>
      <c r="G92" s="182">
        <v>221</v>
      </c>
      <c r="H92" s="182">
        <v>439</v>
      </c>
      <c r="I92" s="166"/>
      <c r="J92" s="187">
        <f t="shared" si="52"/>
        <v>6.0381679389312977</v>
      </c>
      <c r="K92" s="188">
        <f t="shared" si="53"/>
        <v>55.499367888748417</v>
      </c>
      <c r="L92" s="188">
        <f t="shared" si="54"/>
        <v>16.561314791403287</v>
      </c>
      <c r="M92" s="189">
        <f t="shared" si="55"/>
        <v>27.939317319848296</v>
      </c>
    </row>
    <row r="93" spans="1:13" s="220" customFormat="1" ht="20.25" customHeight="1">
      <c r="A93" s="191" t="s">
        <v>842</v>
      </c>
      <c r="B93" s="182">
        <v>1061</v>
      </c>
      <c r="C93" s="182">
        <v>352</v>
      </c>
      <c r="D93" s="182">
        <v>113</v>
      </c>
      <c r="E93" s="182">
        <v>0</v>
      </c>
      <c r="F93" s="182">
        <v>433</v>
      </c>
      <c r="G93" s="182">
        <v>12</v>
      </c>
      <c r="H93" s="182">
        <v>1081</v>
      </c>
      <c r="I93" s="166"/>
      <c r="J93" s="187">
        <f t="shared" si="52"/>
        <v>3.5242494226327943</v>
      </c>
      <c r="K93" s="188">
        <f t="shared" si="53"/>
        <v>70.838794233289647</v>
      </c>
      <c r="L93" s="188">
        <f t="shared" si="54"/>
        <v>28.374836173001309</v>
      </c>
      <c r="M93" s="189">
        <f t="shared" si="55"/>
        <v>0.78636959370904314</v>
      </c>
    </row>
    <row r="94" spans="1:13" ht="20.25" customHeight="1">
      <c r="A94" s="191" t="s">
        <v>843</v>
      </c>
      <c r="B94" s="182">
        <v>635</v>
      </c>
      <c r="C94" s="182">
        <v>250</v>
      </c>
      <c r="D94" s="182">
        <v>93</v>
      </c>
      <c r="E94" s="182">
        <v>0</v>
      </c>
      <c r="F94" s="182">
        <v>155</v>
      </c>
      <c r="G94" s="182">
        <v>64</v>
      </c>
      <c r="H94" s="182">
        <v>759</v>
      </c>
      <c r="I94" s="166"/>
      <c r="J94" s="187">
        <f t="shared" si="52"/>
        <v>6.3096774193548386</v>
      </c>
      <c r="K94" s="188">
        <f t="shared" si="53"/>
        <v>77.607361963190186</v>
      </c>
      <c r="L94" s="188">
        <f t="shared" si="54"/>
        <v>15.848670756646216</v>
      </c>
      <c r="M94" s="189">
        <f t="shared" si="55"/>
        <v>6.5439672801636002</v>
      </c>
    </row>
    <row r="95" spans="1:13" ht="20.25" customHeight="1">
      <c r="A95" s="191" t="s">
        <v>431</v>
      </c>
      <c r="B95" s="182">
        <v>123</v>
      </c>
      <c r="C95" s="182">
        <v>62</v>
      </c>
      <c r="D95" s="182">
        <v>4</v>
      </c>
      <c r="E95" s="182">
        <v>0</v>
      </c>
      <c r="F95" s="182">
        <v>27</v>
      </c>
      <c r="G95" s="182">
        <v>9</v>
      </c>
      <c r="H95" s="182">
        <v>153</v>
      </c>
      <c r="I95" s="166"/>
      <c r="J95" s="187">
        <f t="shared" si="52"/>
        <v>7</v>
      </c>
      <c r="K95" s="188">
        <f t="shared" si="53"/>
        <v>80.952380952380949</v>
      </c>
      <c r="L95" s="188">
        <f t="shared" si="54"/>
        <v>14.285714285714285</v>
      </c>
      <c r="M95" s="189">
        <f t="shared" si="55"/>
        <v>4.7619047619047619</v>
      </c>
    </row>
    <row r="96" spans="1:13" ht="20.25" customHeight="1">
      <c r="A96" s="261"/>
      <c r="B96" s="182"/>
      <c r="C96" s="182"/>
      <c r="D96" s="182"/>
      <c r="E96" s="182"/>
      <c r="F96" s="182"/>
      <c r="G96" s="182"/>
      <c r="H96" s="182"/>
      <c r="I96" s="166"/>
      <c r="J96" s="183"/>
      <c r="K96" s="188"/>
      <c r="L96" s="188"/>
      <c r="M96" s="189"/>
    </row>
    <row r="97" spans="1:13" s="220" customFormat="1" ht="20.25" customHeight="1">
      <c r="A97" s="260" t="s">
        <v>845</v>
      </c>
      <c r="B97" s="169">
        <f t="shared" ref="B97:H97" si="56">SUM(B98:B99)</f>
        <v>6428</v>
      </c>
      <c r="C97" s="169">
        <f t="shared" si="56"/>
        <v>1420</v>
      </c>
      <c r="D97" s="169">
        <f t="shared" si="56"/>
        <v>793</v>
      </c>
      <c r="E97" s="169">
        <v>2</v>
      </c>
      <c r="F97" s="169">
        <f t="shared" si="56"/>
        <v>365</v>
      </c>
      <c r="G97" s="169">
        <f t="shared" si="56"/>
        <v>2133</v>
      </c>
      <c r="H97" s="169">
        <f t="shared" si="56"/>
        <v>6145</v>
      </c>
      <c r="I97" s="401"/>
      <c r="J97" s="183">
        <f t="shared" ref="J97:J99" si="57">SUM(B97:E97)/F97</f>
        <v>23.67945205479452</v>
      </c>
      <c r="K97" s="184">
        <f t="shared" ref="K97:K99" si="58">(H97/SUM(B97:E97))*100</f>
        <v>71.097998380192067</v>
      </c>
      <c r="L97" s="184">
        <f t="shared" ref="L97:L99" si="59">(F97/SUM(B97:E97))*100</f>
        <v>4.2230706930463962</v>
      </c>
      <c r="M97" s="185">
        <f t="shared" ref="M97:M99" si="60">(G97/SUM(B97:E97))*100</f>
        <v>24.678930926761542</v>
      </c>
    </row>
    <row r="98" spans="1:13" s="220" customFormat="1" ht="20.25" customHeight="1">
      <c r="A98" s="191" t="s">
        <v>924</v>
      </c>
      <c r="B98" s="182">
        <v>5101</v>
      </c>
      <c r="C98" s="182">
        <v>1041</v>
      </c>
      <c r="D98" s="182">
        <v>587</v>
      </c>
      <c r="E98" s="182">
        <v>2</v>
      </c>
      <c r="F98" s="182">
        <v>118</v>
      </c>
      <c r="G98" s="182">
        <v>1901</v>
      </c>
      <c r="H98" s="182">
        <v>4712</v>
      </c>
      <c r="I98" s="166"/>
      <c r="J98" s="187">
        <f t="shared" si="57"/>
        <v>57.042372881355931</v>
      </c>
      <c r="K98" s="188">
        <f t="shared" si="58"/>
        <v>70.004456990046066</v>
      </c>
      <c r="L98" s="188">
        <f t="shared" si="59"/>
        <v>1.7530827514485217</v>
      </c>
      <c r="M98" s="189">
        <f t="shared" si="60"/>
        <v>28.242460258505425</v>
      </c>
    </row>
    <row r="99" spans="1:13" s="220" customFormat="1" ht="20.25" customHeight="1">
      <c r="A99" s="191" t="s">
        <v>148</v>
      </c>
      <c r="B99" s="182">
        <v>1327</v>
      </c>
      <c r="C99" s="182">
        <v>379</v>
      </c>
      <c r="D99" s="182">
        <v>206</v>
      </c>
      <c r="E99" s="182">
        <v>0</v>
      </c>
      <c r="F99" s="182">
        <v>247</v>
      </c>
      <c r="G99" s="182">
        <v>232</v>
      </c>
      <c r="H99" s="182">
        <v>1433</v>
      </c>
      <c r="I99" s="166"/>
      <c r="J99" s="187">
        <f t="shared" si="57"/>
        <v>7.7408906882591095</v>
      </c>
      <c r="K99" s="188">
        <f t="shared" si="58"/>
        <v>74.94769874476988</v>
      </c>
      <c r="L99" s="188">
        <f t="shared" si="59"/>
        <v>12.918410041841005</v>
      </c>
      <c r="M99" s="189">
        <f t="shared" si="60"/>
        <v>12.133891213389122</v>
      </c>
    </row>
    <row r="100" spans="1:13" s="220" customFormat="1" ht="20.25" customHeight="1">
      <c r="A100" s="261"/>
      <c r="B100" s="182"/>
      <c r="C100" s="182"/>
      <c r="D100" s="182"/>
      <c r="E100" s="182"/>
      <c r="F100" s="182"/>
      <c r="G100" s="182"/>
      <c r="H100" s="182"/>
      <c r="I100" s="166"/>
      <c r="J100" s="183"/>
      <c r="K100" s="188"/>
      <c r="L100" s="188"/>
      <c r="M100" s="189"/>
    </row>
    <row r="101" spans="1:13" s="220" customFormat="1" ht="20.25" customHeight="1">
      <c r="A101" s="260" t="s">
        <v>149</v>
      </c>
      <c r="B101" s="169">
        <f t="shared" ref="B101:H101" si="61">SUM(B102:B106)</f>
        <v>5227</v>
      </c>
      <c r="C101" s="169">
        <f t="shared" si="61"/>
        <v>1515</v>
      </c>
      <c r="D101" s="169">
        <f t="shared" si="61"/>
        <v>1832</v>
      </c>
      <c r="E101" s="169">
        <v>1</v>
      </c>
      <c r="F101" s="169">
        <f t="shared" si="61"/>
        <v>2068</v>
      </c>
      <c r="G101" s="169">
        <f t="shared" si="61"/>
        <v>1011</v>
      </c>
      <c r="H101" s="169">
        <f t="shared" si="61"/>
        <v>5496</v>
      </c>
      <c r="I101" s="401"/>
      <c r="J101" s="183">
        <f t="shared" ref="J101:J106" si="62">SUM(B101:E101)/F101</f>
        <v>4.1465183752417794</v>
      </c>
      <c r="K101" s="184">
        <f t="shared" ref="K101:K106" si="63">(H101/SUM(B101:E101))*100</f>
        <v>64.093294460641403</v>
      </c>
      <c r="L101" s="184">
        <f t="shared" ref="L101:L106" si="64">(F101/SUM(B101:E101))*100</f>
        <v>24.11661807580175</v>
      </c>
      <c r="M101" s="185">
        <f t="shared" ref="M101:M106" si="65">(G101/SUM(B101:E101))*100</f>
        <v>11.790087463556851</v>
      </c>
    </row>
    <row r="102" spans="1:13" ht="20.25" customHeight="1">
      <c r="A102" s="191" t="s">
        <v>925</v>
      </c>
      <c r="B102" s="182">
        <v>1172</v>
      </c>
      <c r="C102" s="182">
        <v>257</v>
      </c>
      <c r="D102" s="182">
        <v>465</v>
      </c>
      <c r="E102" s="182">
        <v>0</v>
      </c>
      <c r="F102" s="182">
        <v>589</v>
      </c>
      <c r="G102" s="182">
        <v>268</v>
      </c>
      <c r="H102" s="182">
        <v>1037</v>
      </c>
      <c r="I102" s="166"/>
      <c r="J102" s="187">
        <f t="shared" si="62"/>
        <v>3.2156196943972835</v>
      </c>
      <c r="K102" s="188">
        <f t="shared" si="63"/>
        <v>54.751847940865893</v>
      </c>
      <c r="L102" s="188">
        <f t="shared" si="64"/>
        <v>31.098204857444561</v>
      </c>
      <c r="M102" s="189">
        <f t="shared" si="65"/>
        <v>14.149947201689548</v>
      </c>
    </row>
    <row r="103" spans="1:13" ht="20.25" customHeight="1">
      <c r="A103" s="191" t="s">
        <v>854</v>
      </c>
      <c r="B103" s="182">
        <v>959</v>
      </c>
      <c r="C103" s="182">
        <v>295</v>
      </c>
      <c r="D103" s="182">
        <v>233</v>
      </c>
      <c r="E103" s="182">
        <v>0</v>
      </c>
      <c r="F103" s="182">
        <v>259</v>
      </c>
      <c r="G103" s="182">
        <v>226</v>
      </c>
      <c r="H103" s="182">
        <v>1002</v>
      </c>
      <c r="I103" s="166"/>
      <c r="J103" s="187">
        <f t="shared" si="62"/>
        <v>5.7413127413127416</v>
      </c>
      <c r="K103" s="188">
        <f t="shared" si="63"/>
        <v>67.383994620040355</v>
      </c>
      <c r="L103" s="188">
        <f t="shared" si="64"/>
        <v>17.417619367854741</v>
      </c>
      <c r="M103" s="189">
        <f t="shared" si="65"/>
        <v>15.198386012104908</v>
      </c>
    </row>
    <row r="104" spans="1:13" s="220" customFormat="1" ht="20.25" customHeight="1">
      <c r="A104" s="191" t="s">
        <v>855</v>
      </c>
      <c r="B104" s="182">
        <v>1954</v>
      </c>
      <c r="C104" s="182">
        <v>457</v>
      </c>
      <c r="D104" s="182">
        <v>648</v>
      </c>
      <c r="E104" s="182">
        <v>0</v>
      </c>
      <c r="F104" s="182">
        <v>767</v>
      </c>
      <c r="G104" s="182">
        <v>310</v>
      </c>
      <c r="H104" s="182">
        <v>1982</v>
      </c>
      <c r="I104" s="166"/>
      <c r="J104" s="187">
        <f t="shared" si="62"/>
        <v>3.9882659713168187</v>
      </c>
      <c r="K104" s="188">
        <f t="shared" si="63"/>
        <v>64.792415822164102</v>
      </c>
      <c r="L104" s="188">
        <f t="shared" si="64"/>
        <v>25.07355344883949</v>
      </c>
      <c r="M104" s="189">
        <f t="shared" si="65"/>
        <v>10.134030728996404</v>
      </c>
    </row>
    <row r="105" spans="1:13" ht="20.25" customHeight="1">
      <c r="A105" s="191" t="s">
        <v>856</v>
      </c>
      <c r="B105" s="182">
        <v>754</v>
      </c>
      <c r="C105" s="182">
        <v>353</v>
      </c>
      <c r="D105" s="182">
        <v>453</v>
      </c>
      <c r="E105" s="182">
        <v>0</v>
      </c>
      <c r="F105" s="182">
        <v>374</v>
      </c>
      <c r="G105" s="182">
        <v>207</v>
      </c>
      <c r="H105" s="182">
        <v>979</v>
      </c>
      <c r="I105" s="166"/>
      <c r="J105" s="187">
        <f t="shared" si="62"/>
        <v>4.1711229946524062</v>
      </c>
      <c r="K105" s="188">
        <f t="shared" si="63"/>
        <v>62.756410256410255</v>
      </c>
      <c r="L105" s="188">
        <f t="shared" si="64"/>
        <v>23.974358974358974</v>
      </c>
      <c r="M105" s="189">
        <f t="shared" si="65"/>
        <v>13.26923076923077</v>
      </c>
    </row>
    <row r="106" spans="1:13" ht="20.25" customHeight="1">
      <c r="A106" s="191" t="s">
        <v>926</v>
      </c>
      <c r="B106" s="182">
        <v>388</v>
      </c>
      <c r="C106" s="182">
        <v>153</v>
      </c>
      <c r="D106" s="182">
        <v>33</v>
      </c>
      <c r="E106" s="182">
        <v>1</v>
      </c>
      <c r="F106" s="182">
        <v>79</v>
      </c>
      <c r="G106" s="182">
        <v>0</v>
      </c>
      <c r="H106" s="182">
        <v>496</v>
      </c>
      <c r="I106" s="166"/>
      <c r="J106" s="187">
        <f t="shared" si="62"/>
        <v>7.2784810126582276</v>
      </c>
      <c r="K106" s="188">
        <f t="shared" si="63"/>
        <v>86.260869565217391</v>
      </c>
      <c r="L106" s="188">
        <f t="shared" si="64"/>
        <v>13.739130434782609</v>
      </c>
      <c r="M106" s="189">
        <f t="shared" si="65"/>
        <v>0</v>
      </c>
    </row>
    <row r="107" spans="1:13" s="220" customFormat="1" ht="20.25" customHeight="1">
      <c r="A107" s="262"/>
      <c r="B107" s="182"/>
      <c r="C107" s="182"/>
      <c r="D107" s="182"/>
      <c r="E107" s="182"/>
      <c r="F107" s="182"/>
      <c r="G107" s="182"/>
      <c r="H107" s="182"/>
      <c r="I107" s="166"/>
      <c r="J107" s="183"/>
      <c r="K107" s="188"/>
      <c r="L107" s="188"/>
      <c r="M107" s="189"/>
    </row>
    <row r="108" spans="1:13" s="220" customFormat="1" ht="20.25" customHeight="1">
      <c r="A108" s="260" t="s">
        <v>857</v>
      </c>
      <c r="B108" s="169">
        <f t="shared" ref="B108:H108" si="66">SUM(B109:B111)</f>
        <v>8231</v>
      </c>
      <c r="C108" s="169">
        <f t="shared" si="66"/>
        <v>2000</v>
      </c>
      <c r="D108" s="169">
        <f t="shared" si="66"/>
        <v>777</v>
      </c>
      <c r="E108" s="169">
        <v>3</v>
      </c>
      <c r="F108" s="169">
        <f t="shared" si="66"/>
        <v>1140</v>
      </c>
      <c r="G108" s="169">
        <f t="shared" si="66"/>
        <v>1776</v>
      </c>
      <c r="H108" s="169">
        <f t="shared" si="66"/>
        <v>8095</v>
      </c>
      <c r="I108" s="401"/>
      <c r="J108" s="183">
        <f t="shared" ref="J108:J111" si="67">SUM(B108:E108)/F108</f>
        <v>9.658771929824562</v>
      </c>
      <c r="K108" s="184">
        <f t="shared" ref="K108:K111" si="68">(H108/SUM(B108:E108))*100</f>
        <v>73.517391699209881</v>
      </c>
      <c r="L108" s="184">
        <f t="shared" ref="L108:L111" si="69">(F108/SUM(B108:E108))*100</f>
        <v>10.353283080555808</v>
      </c>
      <c r="M108" s="185">
        <f t="shared" ref="M108:M111" si="70">(G108/SUM(B108:E108))*100</f>
        <v>16.12932522023431</v>
      </c>
    </row>
    <row r="109" spans="1:13" s="220" customFormat="1" ht="20.25" customHeight="1">
      <c r="A109" s="191" t="s">
        <v>927</v>
      </c>
      <c r="B109" s="182">
        <v>5473</v>
      </c>
      <c r="C109" s="182">
        <v>1065</v>
      </c>
      <c r="D109" s="182">
        <v>573</v>
      </c>
      <c r="E109" s="182">
        <v>3</v>
      </c>
      <c r="F109" s="182">
        <v>734</v>
      </c>
      <c r="G109" s="182">
        <v>1406</v>
      </c>
      <c r="H109" s="182">
        <v>4974</v>
      </c>
      <c r="I109" s="166"/>
      <c r="J109" s="187">
        <f t="shared" si="67"/>
        <v>9.692098092643052</v>
      </c>
      <c r="K109" s="188">
        <f t="shared" si="68"/>
        <v>69.918470621310092</v>
      </c>
      <c r="L109" s="188">
        <f t="shared" si="69"/>
        <v>10.317683441102051</v>
      </c>
      <c r="M109" s="189">
        <f t="shared" si="70"/>
        <v>19.763845937587853</v>
      </c>
    </row>
    <row r="110" spans="1:13" s="220" customFormat="1" ht="20.25" customHeight="1">
      <c r="A110" s="191" t="s">
        <v>150</v>
      </c>
      <c r="B110" s="182">
        <v>854</v>
      </c>
      <c r="C110" s="182">
        <v>443</v>
      </c>
      <c r="D110" s="182">
        <v>66</v>
      </c>
      <c r="E110" s="182">
        <v>0</v>
      </c>
      <c r="F110" s="182">
        <v>137</v>
      </c>
      <c r="G110" s="182">
        <v>168</v>
      </c>
      <c r="H110" s="182">
        <v>1058</v>
      </c>
      <c r="I110" s="166"/>
      <c r="J110" s="187">
        <f t="shared" si="67"/>
        <v>9.9489051094890506</v>
      </c>
      <c r="K110" s="188">
        <f t="shared" si="68"/>
        <v>77.622890682318413</v>
      </c>
      <c r="L110" s="188">
        <f t="shared" si="69"/>
        <v>10.051357300073366</v>
      </c>
      <c r="M110" s="189">
        <f t="shared" si="70"/>
        <v>12.325752017608217</v>
      </c>
    </row>
    <row r="111" spans="1:13" s="220" customFormat="1" ht="20.25" customHeight="1">
      <c r="A111" s="191" t="s">
        <v>859</v>
      </c>
      <c r="B111" s="182">
        <v>1904</v>
      </c>
      <c r="C111" s="182">
        <v>492</v>
      </c>
      <c r="D111" s="182">
        <v>138</v>
      </c>
      <c r="E111" s="182">
        <v>0</v>
      </c>
      <c r="F111" s="182">
        <v>269</v>
      </c>
      <c r="G111" s="182">
        <v>202</v>
      </c>
      <c r="H111" s="182">
        <v>2063</v>
      </c>
      <c r="I111" s="166"/>
      <c r="J111" s="187">
        <f t="shared" si="67"/>
        <v>9.4200743494423786</v>
      </c>
      <c r="K111" s="188">
        <f t="shared" si="68"/>
        <v>81.412786108918709</v>
      </c>
      <c r="L111" s="188">
        <f t="shared" si="69"/>
        <v>10.615627466456196</v>
      </c>
      <c r="M111" s="189">
        <f t="shared" si="70"/>
        <v>7.9715864246250989</v>
      </c>
    </row>
    <row r="112" spans="1:13" s="220" customFormat="1" ht="20.25" customHeight="1">
      <c r="A112" s="261"/>
      <c r="B112" s="182"/>
      <c r="C112" s="182"/>
      <c r="D112" s="182"/>
      <c r="E112" s="182"/>
      <c r="F112" s="182"/>
      <c r="G112" s="182"/>
      <c r="H112" s="182"/>
      <c r="I112" s="166"/>
      <c r="J112" s="183"/>
      <c r="K112" s="188"/>
      <c r="L112" s="188"/>
      <c r="M112" s="189"/>
    </row>
    <row r="113" spans="1:13" s="220" customFormat="1" ht="20.25" customHeight="1">
      <c r="A113" s="260" t="s">
        <v>860</v>
      </c>
      <c r="B113" s="169">
        <f t="shared" ref="B113:H113" si="71">SUM(B114:B116)</f>
        <v>11567</v>
      </c>
      <c r="C113" s="169">
        <f t="shared" si="71"/>
        <v>2621</v>
      </c>
      <c r="D113" s="169">
        <f t="shared" si="71"/>
        <v>2434</v>
      </c>
      <c r="E113" s="169">
        <v>3</v>
      </c>
      <c r="F113" s="169">
        <f t="shared" si="71"/>
        <v>2525</v>
      </c>
      <c r="G113" s="169">
        <f t="shared" si="71"/>
        <v>2006</v>
      </c>
      <c r="H113" s="169">
        <f t="shared" si="71"/>
        <v>12094</v>
      </c>
      <c r="I113" s="401"/>
      <c r="J113" s="183">
        <f t="shared" ref="J113:J116" si="72">SUM(B113:E113)/F113</f>
        <v>6.5841584158415838</v>
      </c>
      <c r="K113" s="184">
        <f t="shared" ref="K113:K116" si="73">(H113/SUM(B113:E113))*100</f>
        <v>72.745864661654139</v>
      </c>
      <c r="L113" s="184">
        <f t="shared" ref="L113:L116" si="74">(F113/SUM(B113:E113))*100</f>
        <v>15.18796992481203</v>
      </c>
      <c r="M113" s="185">
        <f t="shared" ref="M113:M116" si="75">(G113/SUM(B113:E113))*100</f>
        <v>12.066165413533835</v>
      </c>
    </row>
    <row r="114" spans="1:13" s="220" customFormat="1" ht="20.25" customHeight="1">
      <c r="A114" s="213" t="s">
        <v>928</v>
      </c>
      <c r="B114" s="182">
        <v>6252</v>
      </c>
      <c r="C114" s="182">
        <v>1371</v>
      </c>
      <c r="D114" s="182">
        <v>776</v>
      </c>
      <c r="E114" s="182">
        <v>3</v>
      </c>
      <c r="F114" s="182">
        <v>1163</v>
      </c>
      <c r="G114" s="182">
        <v>24</v>
      </c>
      <c r="H114" s="182">
        <v>7215</v>
      </c>
      <c r="I114" s="166"/>
      <c r="J114" s="187">
        <f t="shared" si="72"/>
        <v>7.224419604471195</v>
      </c>
      <c r="K114" s="188">
        <f t="shared" si="73"/>
        <v>85.872411330635572</v>
      </c>
      <c r="L114" s="188">
        <f t="shared" si="74"/>
        <v>13.841942394667935</v>
      </c>
      <c r="M114" s="189">
        <f t="shared" si="75"/>
        <v>0.28564627469650083</v>
      </c>
    </row>
    <row r="115" spans="1:13" s="220" customFormat="1" ht="20.25" customHeight="1">
      <c r="A115" s="191" t="s">
        <v>863</v>
      </c>
      <c r="B115" s="182">
        <v>1521</v>
      </c>
      <c r="C115" s="182">
        <v>589</v>
      </c>
      <c r="D115" s="182">
        <v>861</v>
      </c>
      <c r="E115" s="182">
        <v>0</v>
      </c>
      <c r="F115" s="182">
        <v>368</v>
      </c>
      <c r="G115" s="182">
        <v>1020</v>
      </c>
      <c r="H115" s="182">
        <v>1583</v>
      </c>
      <c r="I115" s="166"/>
      <c r="J115" s="187">
        <f t="shared" si="72"/>
        <v>8.0733695652173907</v>
      </c>
      <c r="K115" s="188">
        <f t="shared" si="73"/>
        <v>53.281723325479632</v>
      </c>
      <c r="L115" s="188">
        <f t="shared" si="74"/>
        <v>12.386401884887244</v>
      </c>
      <c r="M115" s="189">
        <f t="shared" si="75"/>
        <v>34.331874789633119</v>
      </c>
    </row>
    <row r="116" spans="1:13" s="220" customFormat="1" ht="20.25" customHeight="1">
      <c r="A116" s="213" t="s">
        <v>151</v>
      </c>
      <c r="B116" s="182">
        <v>3794</v>
      </c>
      <c r="C116" s="182">
        <v>661</v>
      </c>
      <c r="D116" s="182">
        <v>797</v>
      </c>
      <c r="E116" s="182">
        <v>0</v>
      </c>
      <c r="F116" s="182">
        <v>994</v>
      </c>
      <c r="G116" s="182">
        <v>962</v>
      </c>
      <c r="H116" s="182">
        <v>3296</v>
      </c>
      <c r="I116" s="166"/>
      <c r="J116" s="187">
        <f t="shared" si="72"/>
        <v>5.2837022132796783</v>
      </c>
      <c r="K116" s="188">
        <f t="shared" si="73"/>
        <v>62.757044935262762</v>
      </c>
      <c r="L116" s="188">
        <f t="shared" si="74"/>
        <v>18.926123381568928</v>
      </c>
      <c r="M116" s="189">
        <f t="shared" si="75"/>
        <v>18.316831683168317</v>
      </c>
    </row>
    <row r="117" spans="1:13" s="220" customFormat="1" ht="20.25" customHeight="1">
      <c r="A117" s="224"/>
      <c r="B117" s="263"/>
      <c r="C117" s="263"/>
      <c r="D117" s="263"/>
      <c r="E117" s="263"/>
      <c r="F117" s="263"/>
      <c r="G117" s="263"/>
      <c r="H117" s="264"/>
      <c r="I117" s="171"/>
      <c r="J117" s="218"/>
      <c r="K117" s="218"/>
      <c r="L117" s="218"/>
      <c r="M117" s="218"/>
    </row>
    <row r="118" spans="1:13" s="220" customFormat="1" ht="20.25" customHeight="1">
      <c r="A118" s="39" t="s">
        <v>1072</v>
      </c>
      <c r="B118" s="152"/>
      <c r="C118" s="152"/>
      <c r="D118" s="152"/>
      <c r="E118" s="152"/>
      <c r="F118" s="152"/>
      <c r="G118" s="265"/>
      <c r="H118" s="265"/>
      <c r="I118" s="152"/>
      <c r="J118" s="152"/>
      <c r="K118" s="152"/>
      <c r="L118" s="152"/>
      <c r="M118" s="152"/>
    </row>
  </sheetData>
  <sheetProtection selectLockedCells="1" selectUnlockedCells="1"/>
  <mergeCells count="3">
    <mergeCell ref="A3:M3"/>
    <mergeCell ref="B5:H5"/>
    <mergeCell ref="J5:M5"/>
  </mergeCells>
  <phoneticPr fontId="0" type="noConversion"/>
  <printOptions horizontalCentered="1" verticalCentered="1"/>
  <pageMargins left="0" right="0" top="0" bottom="0" header="0.51180555555555551" footer="0.51180555555555551"/>
  <pageSetup scale="29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B0F0"/>
  </sheetPr>
  <dimension ref="A1:M116"/>
  <sheetViews>
    <sheetView workbookViewId="0">
      <selection activeCell="A3" sqref="A3:K3"/>
    </sheetView>
  </sheetViews>
  <sheetFormatPr baseColWidth="10" defaultColWidth="11.44140625" defaultRowHeight="20.25" customHeight="1"/>
  <cols>
    <col min="1" max="1" width="99.109375" style="219" customWidth="1"/>
    <col min="2" max="4" width="18.6640625" style="219" customWidth="1"/>
    <col min="5" max="5" width="19.6640625" style="219" customWidth="1"/>
    <col min="6" max="7" width="18.6640625" style="219" customWidth="1"/>
    <col min="8" max="8" width="5.6640625" style="152" customWidth="1"/>
    <col min="9" max="11" width="18.6640625" style="152" customWidth="1"/>
    <col min="12" max="13" width="11.44140625" style="152"/>
    <col min="14" max="16384" width="11.44140625" style="219"/>
  </cols>
  <sheetData>
    <row r="1" spans="1:13" ht="20.25" customHeight="1">
      <c r="A1" s="220" t="s">
        <v>152</v>
      </c>
      <c r="B1" s="154"/>
      <c r="C1" s="154"/>
      <c r="D1" s="154"/>
      <c r="E1" s="154"/>
      <c r="F1" s="154"/>
      <c r="G1" s="154"/>
    </row>
    <row r="2" spans="1:13" ht="20.25" customHeight="1">
      <c r="A2" s="220"/>
      <c r="B2" s="251"/>
      <c r="C2" s="251"/>
      <c r="D2" s="251"/>
      <c r="E2" s="251"/>
      <c r="F2" s="251"/>
      <c r="G2" s="251"/>
    </row>
    <row r="3" spans="1:13" ht="20.25" customHeight="1">
      <c r="A3" s="457" t="s">
        <v>1060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</row>
    <row r="4" spans="1:13" ht="20.25" customHeight="1">
      <c r="A4" s="266"/>
      <c r="B4" s="266"/>
      <c r="C4" s="266"/>
      <c r="D4" s="266"/>
      <c r="E4" s="266"/>
      <c r="F4" s="266"/>
      <c r="G4" s="266"/>
      <c r="H4" s="160"/>
      <c r="I4" s="160"/>
      <c r="J4" s="160"/>
      <c r="K4" s="160"/>
    </row>
    <row r="5" spans="1:13" ht="20.25" customHeight="1">
      <c r="A5" s="267"/>
      <c r="B5" s="458" t="s">
        <v>535</v>
      </c>
      <c r="C5" s="458"/>
      <c r="D5" s="458"/>
      <c r="E5" s="458"/>
      <c r="F5" s="458"/>
      <c r="G5" s="458"/>
      <c r="H5" s="162"/>
      <c r="I5" s="459" t="s">
        <v>536</v>
      </c>
      <c r="J5" s="459"/>
      <c r="K5" s="459"/>
    </row>
    <row r="6" spans="1:13" ht="20.25" customHeight="1">
      <c r="A6" s="253" t="s">
        <v>537</v>
      </c>
      <c r="B6" s="165" t="s">
        <v>540</v>
      </c>
      <c r="C6" s="165" t="s">
        <v>539</v>
      </c>
      <c r="D6" s="165" t="s">
        <v>539</v>
      </c>
      <c r="E6" s="165" t="s">
        <v>153</v>
      </c>
      <c r="F6" s="165" t="s">
        <v>539</v>
      </c>
      <c r="G6" s="164" t="s">
        <v>538</v>
      </c>
      <c r="H6" s="166"/>
      <c r="I6" s="163" t="s">
        <v>541</v>
      </c>
      <c r="J6" s="165" t="s">
        <v>542</v>
      </c>
      <c r="K6" s="164" t="s">
        <v>542</v>
      </c>
    </row>
    <row r="7" spans="1:13" ht="20.25" customHeight="1">
      <c r="A7" s="167"/>
      <c r="B7" s="268">
        <v>42370</v>
      </c>
      <c r="C7" s="173" t="s">
        <v>543</v>
      </c>
      <c r="D7" s="173" t="s">
        <v>544</v>
      </c>
      <c r="E7" s="173" t="s">
        <v>154</v>
      </c>
      <c r="F7" s="169" t="s">
        <v>545</v>
      </c>
      <c r="G7" s="168">
        <v>42735</v>
      </c>
      <c r="H7" s="171"/>
      <c r="I7" s="172" t="s">
        <v>547</v>
      </c>
      <c r="J7" s="173" t="s">
        <v>548</v>
      </c>
      <c r="K7" s="232" t="s">
        <v>549</v>
      </c>
    </row>
    <row r="8" spans="1:13" ht="20.25" customHeight="1">
      <c r="A8" s="174"/>
      <c r="B8" s="255"/>
      <c r="C8" s="255"/>
      <c r="D8" s="255"/>
      <c r="E8" s="255"/>
      <c r="F8" s="255"/>
      <c r="G8" s="269"/>
      <c r="H8" s="162"/>
      <c r="I8" s="179"/>
      <c r="J8" s="162"/>
      <c r="K8" s="270"/>
    </row>
    <row r="9" spans="1:13" ht="20.25" customHeight="1">
      <c r="A9" s="215" t="s">
        <v>868</v>
      </c>
      <c r="B9" s="233">
        <f t="shared" ref="B9:G9" si="0">SUM(B11,B19,B22,B29,B36,B44,B52,B61,B69,B77,B85,B95,B99,B106,B111)</f>
        <v>47272</v>
      </c>
      <c r="C9" s="233">
        <f t="shared" si="0"/>
        <v>48607</v>
      </c>
      <c r="D9" s="233">
        <f t="shared" si="0"/>
        <v>639</v>
      </c>
      <c r="E9" s="233">
        <f t="shared" si="0"/>
        <v>10539</v>
      </c>
      <c r="F9" s="233">
        <f t="shared" si="0"/>
        <v>64509</v>
      </c>
      <c r="G9" s="233">
        <f t="shared" si="0"/>
        <v>42548</v>
      </c>
      <c r="H9" s="211"/>
      <c r="I9" s="183">
        <f>SUM(B9:E9)/F9</f>
        <v>1.6595668821404765</v>
      </c>
      <c r="J9" s="184">
        <f>(G9/SUM(B9:E9))*100</f>
        <v>39.743314309199775</v>
      </c>
      <c r="K9" s="271">
        <f>(F9/SUM(B9:E9))*100</f>
        <v>60.256685690800225</v>
      </c>
    </row>
    <row r="10" spans="1:13" ht="20.25" customHeight="1">
      <c r="A10" s="191"/>
      <c r="B10" s="214"/>
      <c r="C10" s="214"/>
      <c r="D10" s="214"/>
      <c r="E10" s="214"/>
      <c r="F10" s="214"/>
      <c r="G10" s="214"/>
      <c r="H10" s="211"/>
      <c r="I10" s="187"/>
      <c r="J10" s="188"/>
      <c r="K10" s="272"/>
    </row>
    <row r="11" spans="1:13" ht="20.25" customHeight="1">
      <c r="A11" s="215" t="s">
        <v>155</v>
      </c>
      <c r="B11" s="181">
        <f t="shared" ref="B11:G11" si="1">SUM(B12:B17)</f>
        <v>2691</v>
      </c>
      <c r="C11" s="181">
        <f t="shared" si="1"/>
        <v>2618</v>
      </c>
      <c r="D11" s="181">
        <f t="shared" si="1"/>
        <v>196</v>
      </c>
      <c r="E11" s="181">
        <f t="shared" si="1"/>
        <v>862</v>
      </c>
      <c r="F11" s="181">
        <f t="shared" si="1"/>
        <v>3780</v>
      </c>
      <c r="G11" s="181">
        <f t="shared" si="1"/>
        <v>2587</v>
      </c>
      <c r="H11" s="211"/>
      <c r="I11" s="183">
        <f t="shared" ref="I11:I17" si="2">SUM(B11:E11)/F11</f>
        <v>1.6843915343915343</v>
      </c>
      <c r="J11" s="184">
        <f t="shared" ref="J11:J17" si="3">(G11/SUM(B11:E11))*100</f>
        <v>40.631380555991832</v>
      </c>
      <c r="K11" s="271">
        <f t="shared" ref="K11:K17" si="4">(F11/SUM(B11:E11))*100</f>
        <v>59.368619444008161</v>
      </c>
    </row>
    <row r="12" spans="1:13" s="220" customFormat="1" ht="20.25" customHeight="1">
      <c r="A12" s="191" t="s">
        <v>684</v>
      </c>
      <c r="B12" s="211">
        <v>1096</v>
      </c>
      <c r="C12" s="211">
        <v>1243</v>
      </c>
      <c r="D12" s="211">
        <v>9</v>
      </c>
      <c r="E12" s="211">
        <v>814</v>
      </c>
      <c r="F12" s="211">
        <v>2027</v>
      </c>
      <c r="G12" s="211">
        <v>1135</v>
      </c>
      <c r="H12" s="211"/>
      <c r="I12" s="187">
        <f t="shared" si="2"/>
        <v>1.5599407992106562</v>
      </c>
      <c r="J12" s="188">
        <f t="shared" si="3"/>
        <v>35.895003162555348</v>
      </c>
      <c r="K12" s="272">
        <f t="shared" si="4"/>
        <v>64.104996837444645</v>
      </c>
      <c r="L12" s="153"/>
      <c r="M12" s="153"/>
    </row>
    <row r="13" spans="1:13" s="220" customFormat="1" ht="20.25" customHeight="1">
      <c r="A13" s="191" t="s">
        <v>556</v>
      </c>
      <c r="B13" s="211">
        <v>406</v>
      </c>
      <c r="C13" s="211">
        <v>403</v>
      </c>
      <c r="D13" s="211">
        <v>3</v>
      </c>
      <c r="E13" s="211">
        <v>9</v>
      </c>
      <c r="F13" s="211">
        <v>477</v>
      </c>
      <c r="G13" s="211">
        <v>344</v>
      </c>
      <c r="H13" s="211"/>
      <c r="I13" s="187">
        <f t="shared" si="2"/>
        <v>1.721174004192872</v>
      </c>
      <c r="J13" s="188">
        <f t="shared" si="3"/>
        <v>41.900121802679656</v>
      </c>
      <c r="K13" s="272">
        <f t="shared" si="4"/>
        <v>58.099878197320344</v>
      </c>
      <c r="L13" s="153"/>
      <c r="M13" s="153"/>
    </row>
    <row r="14" spans="1:13" s="220" customFormat="1" ht="20.25" customHeight="1">
      <c r="A14" s="191" t="s">
        <v>415</v>
      </c>
      <c r="B14" s="211">
        <v>430</v>
      </c>
      <c r="C14" s="211">
        <v>366</v>
      </c>
      <c r="D14" s="211">
        <v>176</v>
      </c>
      <c r="E14" s="211">
        <v>8</v>
      </c>
      <c r="F14" s="211">
        <v>432</v>
      </c>
      <c r="G14" s="211">
        <v>548</v>
      </c>
      <c r="H14" s="211"/>
      <c r="I14" s="187">
        <f t="shared" si="2"/>
        <v>2.2685185185185186</v>
      </c>
      <c r="J14" s="188">
        <f t="shared" si="3"/>
        <v>55.91836734693878</v>
      </c>
      <c r="K14" s="272">
        <f t="shared" si="4"/>
        <v>44.081632653061227</v>
      </c>
      <c r="L14" s="153"/>
      <c r="M14" s="153"/>
    </row>
    <row r="15" spans="1:13" s="220" customFormat="1" ht="20.25" customHeight="1">
      <c r="A15" s="191" t="s">
        <v>262</v>
      </c>
      <c r="B15" s="211">
        <v>64</v>
      </c>
      <c r="C15" s="211">
        <v>112</v>
      </c>
      <c r="D15" s="211">
        <v>2</v>
      </c>
      <c r="E15" s="211">
        <v>12</v>
      </c>
      <c r="F15" s="211">
        <v>104</v>
      </c>
      <c r="G15" s="211">
        <v>86</v>
      </c>
      <c r="H15" s="211"/>
      <c r="I15" s="187">
        <f t="shared" si="2"/>
        <v>1.8269230769230769</v>
      </c>
      <c r="J15" s="188">
        <f t="shared" si="3"/>
        <v>45.263157894736842</v>
      </c>
      <c r="K15" s="272">
        <f t="shared" si="4"/>
        <v>54.736842105263165</v>
      </c>
      <c r="L15" s="153"/>
      <c r="M15" s="153"/>
    </row>
    <row r="16" spans="1:13" s="220" customFormat="1" ht="20.25" customHeight="1">
      <c r="A16" s="191" t="s">
        <v>264</v>
      </c>
      <c r="B16" s="211">
        <v>31</v>
      </c>
      <c r="C16" s="211">
        <v>55</v>
      </c>
      <c r="D16" s="211">
        <v>1</v>
      </c>
      <c r="E16" s="211">
        <v>0</v>
      </c>
      <c r="F16" s="211">
        <v>54</v>
      </c>
      <c r="G16" s="211">
        <v>33</v>
      </c>
      <c r="H16" s="211"/>
      <c r="I16" s="187">
        <f t="shared" si="2"/>
        <v>1.6111111111111112</v>
      </c>
      <c r="J16" s="188">
        <f t="shared" si="3"/>
        <v>37.931034482758619</v>
      </c>
      <c r="K16" s="272">
        <f t="shared" si="4"/>
        <v>62.068965517241381</v>
      </c>
      <c r="L16" s="153"/>
      <c r="M16" s="153"/>
    </row>
    <row r="17" spans="1:13" s="220" customFormat="1" ht="20.25" customHeight="1">
      <c r="A17" s="191" t="s">
        <v>266</v>
      </c>
      <c r="B17" s="211">
        <v>664</v>
      </c>
      <c r="C17" s="211">
        <v>439</v>
      </c>
      <c r="D17" s="211">
        <v>5</v>
      </c>
      <c r="E17" s="211">
        <v>19</v>
      </c>
      <c r="F17" s="211">
        <v>686</v>
      </c>
      <c r="G17" s="211">
        <v>441</v>
      </c>
      <c r="H17" s="211"/>
      <c r="I17" s="187">
        <f t="shared" si="2"/>
        <v>1.6428571428571428</v>
      </c>
      <c r="J17" s="188">
        <f t="shared" si="3"/>
        <v>39.130434782608695</v>
      </c>
      <c r="K17" s="272">
        <f t="shared" si="4"/>
        <v>60.869565217391312</v>
      </c>
      <c r="L17" s="153"/>
      <c r="M17" s="153"/>
    </row>
    <row r="18" spans="1:13" s="220" customFormat="1" ht="20.25" customHeight="1">
      <c r="A18" s="234"/>
      <c r="B18" s="211"/>
      <c r="C18" s="211"/>
      <c r="D18" s="211"/>
      <c r="E18" s="211"/>
      <c r="F18" s="211"/>
      <c r="G18" s="211"/>
      <c r="H18" s="211"/>
      <c r="I18" s="187"/>
      <c r="J18" s="188"/>
      <c r="K18" s="272"/>
      <c r="L18" s="153"/>
      <c r="M18" s="153"/>
    </row>
    <row r="19" spans="1:13" s="220" customFormat="1" ht="20.25" customHeight="1">
      <c r="A19" s="215" t="s">
        <v>686</v>
      </c>
      <c r="B19" s="170">
        <f t="shared" ref="B19:G19" si="5">B20</f>
        <v>4780</v>
      </c>
      <c r="C19" s="170">
        <f t="shared" si="5"/>
        <v>4698</v>
      </c>
      <c r="D19" s="170">
        <f t="shared" si="5"/>
        <v>23</v>
      </c>
      <c r="E19" s="170">
        <f t="shared" si="5"/>
        <v>1055</v>
      </c>
      <c r="F19" s="170">
        <f t="shared" si="5"/>
        <v>5936</v>
      </c>
      <c r="G19" s="170">
        <f t="shared" si="5"/>
        <v>4620</v>
      </c>
      <c r="H19" s="170"/>
      <c r="I19" s="183">
        <f>SUM(B19:E19)/F19</f>
        <v>1.7783018867924529</v>
      </c>
      <c r="J19" s="184">
        <f>(G19/SUM(B19:E19))*100</f>
        <v>43.766578249336867</v>
      </c>
      <c r="K19" s="271">
        <f>(F19/SUM(B19:E19))*100</f>
        <v>56.233421750663126</v>
      </c>
      <c r="L19" s="153"/>
      <c r="M19" s="153"/>
    </row>
    <row r="20" spans="1:13" s="220" customFormat="1" ht="20.25" customHeight="1">
      <c r="A20" s="191" t="s">
        <v>687</v>
      </c>
      <c r="B20" s="211">
        <v>4780</v>
      </c>
      <c r="C20" s="211">
        <v>4698</v>
      </c>
      <c r="D20" s="211">
        <v>23</v>
      </c>
      <c r="E20" s="211">
        <v>1055</v>
      </c>
      <c r="F20" s="211">
        <v>5936</v>
      </c>
      <c r="G20" s="211">
        <v>4620</v>
      </c>
      <c r="H20" s="211"/>
      <c r="I20" s="187">
        <f>SUM(B20:E20)/F20</f>
        <v>1.7783018867924529</v>
      </c>
      <c r="J20" s="188">
        <f>(G20/SUM(B20:E20))*100</f>
        <v>43.766578249336867</v>
      </c>
      <c r="K20" s="272">
        <f>(F20/SUM(B20:E20))*100</f>
        <v>56.233421750663126</v>
      </c>
      <c r="L20" s="153"/>
      <c r="M20" s="153"/>
    </row>
    <row r="21" spans="1:13" s="220" customFormat="1" ht="20.25" customHeight="1">
      <c r="A21" s="213"/>
      <c r="B21" s="211"/>
      <c r="C21" s="211"/>
      <c r="D21" s="211"/>
      <c r="E21" s="211"/>
      <c r="F21" s="211"/>
      <c r="G21" s="211"/>
      <c r="H21" s="211"/>
      <c r="I21" s="187"/>
      <c r="J21" s="188"/>
      <c r="K21" s="272"/>
      <c r="L21" s="153"/>
      <c r="M21" s="153"/>
    </row>
    <row r="22" spans="1:13" s="220" customFormat="1" ht="20.25" customHeight="1">
      <c r="A22" s="215" t="s">
        <v>688</v>
      </c>
      <c r="B22" s="170">
        <f t="shared" ref="B22:G22" si="6">SUM(B23:B27)</f>
        <v>5918</v>
      </c>
      <c r="C22" s="170">
        <f t="shared" si="6"/>
        <v>5302</v>
      </c>
      <c r="D22" s="170">
        <f t="shared" si="6"/>
        <v>70</v>
      </c>
      <c r="E22" s="170">
        <f t="shared" si="6"/>
        <v>1506</v>
      </c>
      <c r="F22" s="170">
        <f t="shared" si="6"/>
        <v>8029</v>
      </c>
      <c r="G22" s="170">
        <f t="shared" si="6"/>
        <v>4767</v>
      </c>
      <c r="H22" s="170"/>
      <c r="I22" s="183">
        <f t="shared" ref="I22:I27" si="7">SUM(B22:E22)/F22</f>
        <v>1.5937227550130777</v>
      </c>
      <c r="J22" s="184">
        <f t="shared" ref="J22:J27" si="8">(G22/SUM(B22:E22))*100</f>
        <v>37.253829321663019</v>
      </c>
      <c r="K22" s="271">
        <f t="shared" ref="K22:K27" si="9">(F22/SUM(B22:E22))*100</f>
        <v>62.746170678336973</v>
      </c>
      <c r="L22" s="153"/>
      <c r="M22" s="153"/>
    </row>
    <row r="23" spans="1:13" s="220" customFormat="1" ht="20.25" customHeight="1">
      <c r="A23" s="191" t="s">
        <v>689</v>
      </c>
      <c r="B23" s="211">
        <v>2000</v>
      </c>
      <c r="C23" s="211">
        <v>1797</v>
      </c>
      <c r="D23" s="211">
        <v>8</v>
      </c>
      <c r="E23" s="211">
        <v>548</v>
      </c>
      <c r="F23" s="211">
        <v>2729</v>
      </c>
      <c r="G23" s="211">
        <v>1624</v>
      </c>
      <c r="H23" s="211"/>
      <c r="I23" s="187">
        <f t="shared" si="7"/>
        <v>1.5950897764748992</v>
      </c>
      <c r="J23" s="188">
        <f t="shared" si="8"/>
        <v>37.307603951297956</v>
      </c>
      <c r="K23" s="272">
        <f t="shared" si="9"/>
        <v>62.692396048702051</v>
      </c>
      <c r="L23" s="153"/>
      <c r="M23" s="153"/>
    </row>
    <row r="24" spans="1:13" s="220" customFormat="1" ht="20.25" customHeight="1">
      <c r="A24" s="191" t="s">
        <v>685</v>
      </c>
      <c r="B24" s="211">
        <v>937</v>
      </c>
      <c r="C24" s="211">
        <v>952</v>
      </c>
      <c r="D24" s="211">
        <v>12</v>
      </c>
      <c r="E24" s="211">
        <v>31</v>
      </c>
      <c r="F24" s="211">
        <v>1086</v>
      </c>
      <c r="G24" s="211">
        <v>846</v>
      </c>
      <c r="H24" s="211"/>
      <c r="I24" s="187">
        <f t="shared" si="7"/>
        <v>1.7790055248618784</v>
      </c>
      <c r="J24" s="188">
        <f t="shared" si="8"/>
        <v>43.788819875776397</v>
      </c>
      <c r="K24" s="272">
        <f t="shared" si="9"/>
        <v>56.211180124223603</v>
      </c>
      <c r="L24" s="153"/>
      <c r="M24" s="153"/>
    </row>
    <row r="25" spans="1:13" s="220" customFormat="1" ht="20.25" customHeight="1">
      <c r="A25" s="191" t="s">
        <v>432</v>
      </c>
      <c r="B25" s="211">
        <v>1441</v>
      </c>
      <c r="C25" s="211">
        <v>1744</v>
      </c>
      <c r="D25" s="211">
        <v>0</v>
      </c>
      <c r="E25" s="211">
        <v>755</v>
      </c>
      <c r="F25" s="211">
        <v>2471</v>
      </c>
      <c r="G25" s="211">
        <v>1469</v>
      </c>
      <c r="H25" s="211"/>
      <c r="I25" s="187">
        <f t="shared" si="7"/>
        <v>1.5944961554026711</v>
      </c>
      <c r="J25" s="188">
        <f t="shared" si="8"/>
        <v>37.284263959390863</v>
      </c>
      <c r="K25" s="272">
        <f t="shared" si="9"/>
        <v>62.715736040609137</v>
      </c>
      <c r="L25" s="153"/>
      <c r="M25" s="153"/>
    </row>
    <row r="26" spans="1:13" s="220" customFormat="1" ht="20.25" customHeight="1">
      <c r="A26" s="191" t="s">
        <v>278</v>
      </c>
      <c r="B26" s="211">
        <v>1311</v>
      </c>
      <c r="C26" s="211">
        <v>645</v>
      </c>
      <c r="D26" s="211">
        <v>50</v>
      </c>
      <c r="E26" s="211">
        <v>137</v>
      </c>
      <c r="F26" s="211">
        <v>1450</v>
      </c>
      <c r="G26" s="211">
        <v>693</v>
      </c>
      <c r="H26" s="211"/>
      <c r="I26" s="187">
        <f t="shared" si="7"/>
        <v>1.4779310344827585</v>
      </c>
      <c r="J26" s="188">
        <f t="shared" si="8"/>
        <v>32.337844143723757</v>
      </c>
      <c r="K26" s="272">
        <f t="shared" si="9"/>
        <v>67.662155856276257</v>
      </c>
      <c r="L26" s="153"/>
      <c r="M26" s="153"/>
    </row>
    <row r="27" spans="1:13" s="220" customFormat="1" ht="20.25" customHeight="1">
      <c r="A27" s="191" t="s">
        <v>279</v>
      </c>
      <c r="B27" s="211">
        <v>229</v>
      </c>
      <c r="C27" s="211">
        <v>164</v>
      </c>
      <c r="D27" s="211">
        <v>0</v>
      </c>
      <c r="E27" s="211">
        <v>35</v>
      </c>
      <c r="F27" s="211">
        <v>293</v>
      </c>
      <c r="G27" s="211">
        <v>135</v>
      </c>
      <c r="H27" s="211"/>
      <c r="I27" s="187">
        <f t="shared" si="7"/>
        <v>1.4607508532423208</v>
      </c>
      <c r="J27" s="188">
        <f t="shared" si="8"/>
        <v>31.542056074766357</v>
      </c>
      <c r="K27" s="272">
        <f t="shared" si="9"/>
        <v>68.45794392523365</v>
      </c>
      <c r="L27" s="153"/>
      <c r="M27" s="153"/>
    </row>
    <row r="28" spans="1:13" s="220" customFormat="1" ht="20.25" customHeight="1">
      <c r="A28" s="213"/>
      <c r="B28" s="211"/>
      <c r="C28" s="211"/>
      <c r="D28" s="211"/>
      <c r="E28" s="211"/>
      <c r="F28" s="211"/>
      <c r="G28" s="211"/>
      <c r="H28" s="211"/>
      <c r="I28" s="187"/>
      <c r="J28" s="188"/>
      <c r="K28" s="272"/>
      <c r="L28" s="153"/>
      <c r="M28" s="153"/>
    </row>
    <row r="29" spans="1:13" s="274" customFormat="1" ht="20.25" customHeight="1">
      <c r="A29" s="215" t="s">
        <v>690</v>
      </c>
      <c r="B29" s="170">
        <f t="shared" ref="B29:G29" si="10">SUM(B30:B34)</f>
        <v>3386</v>
      </c>
      <c r="C29" s="170">
        <f t="shared" si="10"/>
        <v>4285</v>
      </c>
      <c r="D29" s="170">
        <f t="shared" si="10"/>
        <v>12</v>
      </c>
      <c r="E29" s="170">
        <f t="shared" si="10"/>
        <v>742</v>
      </c>
      <c r="F29" s="170">
        <f t="shared" si="10"/>
        <v>4982</v>
      </c>
      <c r="G29" s="170">
        <f t="shared" si="10"/>
        <v>3443</v>
      </c>
      <c r="H29" s="170"/>
      <c r="I29" s="183">
        <f t="shared" ref="I29:I34" si="11">SUM(B29:E29)/F29</f>
        <v>1.6910879164993979</v>
      </c>
      <c r="J29" s="184">
        <f t="shared" ref="J29:J34" si="12">(G29/SUM(B29:E29))*100</f>
        <v>40.866468842729972</v>
      </c>
      <c r="K29" s="271">
        <f t="shared" ref="K29:K34" si="13">(F29/SUM(B29:E29))*100</f>
        <v>59.133531157270028</v>
      </c>
      <c r="L29" s="273"/>
      <c r="M29" s="273"/>
    </row>
    <row r="30" spans="1:13" s="274" customFormat="1" ht="20.25" customHeight="1">
      <c r="A30" s="213" t="s">
        <v>691</v>
      </c>
      <c r="B30" s="211">
        <v>2631</v>
      </c>
      <c r="C30" s="211">
        <v>3416</v>
      </c>
      <c r="D30" s="211">
        <v>0</v>
      </c>
      <c r="E30" s="211">
        <v>640</v>
      </c>
      <c r="F30" s="211">
        <v>3990</v>
      </c>
      <c r="G30" s="211">
        <v>2697</v>
      </c>
      <c r="H30" s="211"/>
      <c r="I30" s="187">
        <f t="shared" si="11"/>
        <v>1.6759398496240601</v>
      </c>
      <c r="J30" s="188">
        <f t="shared" si="12"/>
        <v>40.331987438313142</v>
      </c>
      <c r="K30" s="272">
        <f t="shared" si="13"/>
        <v>59.668012561686858</v>
      </c>
      <c r="L30" s="273"/>
      <c r="M30" s="273"/>
    </row>
    <row r="31" spans="1:13" s="274" customFormat="1" ht="20.25" customHeight="1">
      <c r="A31" s="191" t="s">
        <v>283</v>
      </c>
      <c r="B31" s="211">
        <v>251</v>
      </c>
      <c r="C31" s="211">
        <v>290</v>
      </c>
      <c r="D31" s="211">
        <v>7</v>
      </c>
      <c r="E31" s="211">
        <v>6</v>
      </c>
      <c r="F31" s="211">
        <v>309</v>
      </c>
      <c r="G31" s="211">
        <v>245</v>
      </c>
      <c r="H31" s="211"/>
      <c r="I31" s="187">
        <f t="shared" si="11"/>
        <v>1.7928802588996764</v>
      </c>
      <c r="J31" s="188">
        <f t="shared" si="12"/>
        <v>44.223826714801447</v>
      </c>
      <c r="K31" s="272">
        <f t="shared" si="13"/>
        <v>55.77617328519856</v>
      </c>
      <c r="L31" s="273"/>
      <c r="M31" s="273"/>
    </row>
    <row r="32" spans="1:13" s="220" customFormat="1" ht="20.25" customHeight="1">
      <c r="A32" s="191" t="s">
        <v>284</v>
      </c>
      <c r="B32" s="211">
        <v>216</v>
      </c>
      <c r="C32" s="211">
        <v>291</v>
      </c>
      <c r="D32" s="211">
        <v>0</v>
      </c>
      <c r="E32" s="211">
        <v>0</v>
      </c>
      <c r="F32" s="211">
        <v>273</v>
      </c>
      <c r="G32" s="211">
        <v>234</v>
      </c>
      <c r="H32" s="211"/>
      <c r="I32" s="187">
        <f t="shared" si="11"/>
        <v>1.8571428571428572</v>
      </c>
      <c r="J32" s="188">
        <f t="shared" si="12"/>
        <v>46.153846153846153</v>
      </c>
      <c r="K32" s="272">
        <f t="shared" si="13"/>
        <v>53.846153846153847</v>
      </c>
      <c r="L32" s="153"/>
      <c r="M32" s="153"/>
    </row>
    <row r="33" spans="1:13" s="220" customFormat="1" ht="20.25" customHeight="1">
      <c r="A33" s="191" t="s">
        <v>285</v>
      </c>
      <c r="B33" s="211">
        <v>79</v>
      </c>
      <c r="C33" s="211">
        <v>74</v>
      </c>
      <c r="D33" s="211">
        <v>1</v>
      </c>
      <c r="E33" s="211">
        <v>1</v>
      </c>
      <c r="F33" s="211">
        <v>76</v>
      </c>
      <c r="G33" s="211">
        <v>79</v>
      </c>
      <c r="H33" s="211"/>
      <c r="I33" s="187">
        <f t="shared" si="11"/>
        <v>2.0394736842105261</v>
      </c>
      <c r="J33" s="188">
        <f t="shared" si="12"/>
        <v>50.967741935483865</v>
      </c>
      <c r="K33" s="272">
        <f t="shared" si="13"/>
        <v>49.032258064516128</v>
      </c>
      <c r="L33" s="153"/>
      <c r="M33" s="153"/>
    </row>
    <row r="34" spans="1:13" s="220" customFormat="1" ht="20.25" customHeight="1">
      <c r="A34" s="191" t="s">
        <v>286</v>
      </c>
      <c r="B34" s="211">
        <v>209</v>
      </c>
      <c r="C34" s="211">
        <v>214</v>
      </c>
      <c r="D34" s="211">
        <v>4</v>
      </c>
      <c r="E34" s="211">
        <v>95</v>
      </c>
      <c r="F34" s="211">
        <v>334</v>
      </c>
      <c r="G34" s="211">
        <v>188</v>
      </c>
      <c r="H34" s="211"/>
      <c r="I34" s="187">
        <f t="shared" si="11"/>
        <v>1.562874251497006</v>
      </c>
      <c r="J34" s="188">
        <f t="shared" si="12"/>
        <v>36.015325670498086</v>
      </c>
      <c r="K34" s="272">
        <f t="shared" si="13"/>
        <v>63.984674329501914</v>
      </c>
      <c r="L34" s="153"/>
      <c r="M34" s="153"/>
    </row>
    <row r="35" spans="1:13" s="220" customFormat="1" ht="20.25" customHeight="1">
      <c r="A35" s="213"/>
      <c r="B35" s="211"/>
      <c r="C35" s="211"/>
      <c r="D35" s="211"/>
      <c r="E35" s="211"/>
      <c r="F35" s="211"/>
      <c r="G35" s="211"/>
      <c r="H35" s="211"/>
      <c r="I35" s="187"/>
      <c r="J35" s="188"/>
      <c r="K35" s="272"/>
      <c r="L35" s="153"/>
      <c r="M35" s="153"/>
    </row>
    <row r="36" spans="1:13" s="220" customFormat="1" ht="20.25" customHeight="1">
      <c r="A36" s="215" t="s">
        <v>692</v>
      </c>
      <c r="B36" s="170">
        <f t="shared" ref="B36:G36" si="14">SUM(B37:B42)</f>
        <v>2285</v>
      </c>
      <c r="C36" s="170">
        <f t="shared" si="14"/>
        <v>2585</v>
      </c>
      <c r="D36" s="170">
        <f t="shared" si="14"/>
        <v>41</v>
      </c>
      <c r="E36" s="170">
        <f t="shared" si="14"/>
        <v>621</v>
      </c>
      <c r="F36" s="170">
        <f t="shared" si="14"/>
        <v>3297</v>
      </c>
      <c r="G36" s="170">
        <f t="shared" si="14"/>
        <v>2235</v>
      </c>
      <c r="H36" s="170"/>
      <c r="I36" s="183">
        <f t="shared" ref="I36:I41" si="15">SUM(B36:E36)/F36</f>
        <v>1.6778889899909009</v>
      </c>
      <c r="J36" s="184">
        <f t="shared" ref="J36:J41" si="16">(G36/SUM(B36:E36))*100</f>
        <v>40.401301518438174</v>
      </c>
      <c r="K36" s="271">
        <f t="shared" ref="K36:K41" si="17">(F36/SUM(B36:E36))*100</f>
        <v>59.598698481561819</v>
      </c>
      <c r="L36" s="153"/>
      <c r="M36" s="153"/>
    </row>
    <row r="37" spans="1:13" s="220" customFormat="1" ht="20.25" customHeight="1">
      <c r="A37" s="191" t="s">
        <v>693</v>
      </c>
      <c r="B37" s="211">
        <v>980</v>
      </c>
      <c r="C37" s="211">
        <v>1195</v>
      </c>
      <c r="D37" s="211">
        <v>9</v>
      </c>
      <c r="E37" s="211">
        <v>460</v>
      </c>
      <c r="F37" s="211">
        <v>1684</v>
      </c>
      <c r="G37" s="211">
        <v>960</v>
      </c>
      <c r="H37" s="211"/>
      <c r="I37" s="187">
        <f t="shared" si="15"/>
        <v>1.5700712589073633</v>
      </c>
      <c r="J37" s="188">
        <f t="shared" si="16"/>
        <v>36.308623298033282</v>
      </c>
      <c r="K37" s="272">
        <f t="shared" si="17"/>
        <v>63.691376701966718</v>
      </c>
      <c r="L37" s="153"/>
      <c r="M37" s="153"/>
    </row>
    <row r="38" spans="1:13" s="220" customFormat="1" ht="20.25" customHeight="1">
      <c r="A38" s="191" t="s">
        <v>290</v>
      </c>
      <c r="B38" s="211">
        <v>9</v>
      </c>
      <c r="C38" s="211">
        <v>0</v>
      </c>
      <c r="D38" s="211">
        <v>0</v>
      </c>
      <c r="E38" s="211">
        <v>0</v>
      </c>
      <c r="F38" s="211">
        <v>9</v>
      </c>
      <c r="G38" s="211">
        <v>0</v>
      </c>
      <c r="H38" s="211"/>
      <c r="I38" s="187">
        <f t="shared" si="15"/>
        <v>1</v>
      </c>
      <c r="J38" s="188">
        <f t="shared" si="16"/>
        <v>0</v>
      </c>
      <c r="K38" s="272">
        <f t="shared" si="17"/>
        <v>100</v>
      </c>
      <c r="L38" s="153"/>
      <c r="M38" s="153"/>
    </row>
    <row r="39" spans="1:13" s="220" customFormat="1" ht="20.25" customHeight="1">
      <c r="A39" s="191" t="s">
        <v>424</v>
      </c>
      <c r="B39" s="211">
        <v>172</v>
      </c>
      <c r="C39" s="211">
        <v>254</v>
      </c>
      <c r="D39" s="211">
        <v>13</v>
      </c>
      <c r="E39" s="211">
        <v>20</v>
      </c>
      <c r="F39" s="211">
        <v>231</v>
      </c>
      <c r="G39" s="211">
        <v>228</v>
      </c>
      <c r="H39" s="211"/>
      <c r="I39" s="187">
        <f t="shared" si="15"/>
        <v>1.9870129870129871</v>
      </c>
      <c r="J39" s="188">
        <f t="shared" si="16"/>
        <v>49.673202614379086</v>
      </c>
      <c r="K39" s="272">
        <f t="shared" si="17"/>
        <v>50.326797385620914</v>
      </c>
      <c r="L39" s="153"/>
      <c r="M39" s="153"/>
    </row>
    <row r="40" spans="1:13" s="220" customFormat="1" ht="20.25" customHeight="1">
      <c r="A40" s="191" t="s">
        <v>292</v>
      </c>
      <c r="B40" s="211">
        <v>143</v>
      </c>
      <c r="C40" s="211">
        <v>192</v>
      </c>
      <c r="D40" s="211">
        <v>0</v>
      </c>
      <c r="E40" s="211">
        <v>45</v>
      </c>
      <c r="F40" s="211">
        <v>224</v>
      </c>
      <c r="G40" s="211">
        <v>156</v>
      </c>
      <c r="H40" s="211"/>
      <c r="I40" s="187">
        <f t="shared" si="15"/>
        <v>1.6964285714285714</v>
      </c>
      <c r="J40" s="188">
        <f t="shared" si="16"/>
        <v>41.05263157894737</v>
      </c>
      <c r="K40" s="272">
        <f t="shared" si="17"/>
        <v>58.947368421052623</v>
      </c>
      <c r="L40" s="153"/>
      <c r="M40" s="153"/>
    </row>
    <row r="41" spans="1:13" s="220" customFormat="1" ht="20.25" customHeight="1">
      <c r="A41" s="191" t="s">
        <v>293</v>
      </c>
      <c r="B41" s="211">
        <v>401</v>
      </c>
      <c r="C41" s="211">
        <v>403</v>
      </c>
      <c r="D41" s="211">
        <v>0</v>
      </c>
      <c r="E41" s="211">
        <v>69</v>
      </c>
      <c r="F41" s="211">
        <v>522</v>
      </c>
      <c r="G41" s="211">
        <v>351</v>
      </c>
      <c r="H41" s="211"/>
      <c r="I41" s="187">
        <f t="shared" si="15"/>
        <v>1.6724137931034482</v>
      </c>
      <c r="J41" s="188">
        <f t="shared" si="16"/>
        <v>40.206185567010309</v>
      </c>
      <c r="K41" s="272">
        <f t="shared" si="17"/>
        <v>59.793814432989691</v>
      </c>
      <c r="L41" s="153"/>
      <c r="M41" s="153"/>
    </row>
    <row r="42" spans="1:13" s="220" customFormat="1" ht="20.25" customHeight="1">
      <c r="A42" s="191" t="s">
        <v>428</v>
      </c>
      <c r="B42" s="211">
        <v>580</v>
      </c>
      <c r="C42" s="211">
        <v>541</v>
      </c>
      <c r="D42" s="211">
        <v>19</v>
      </c>
      <c r="E42" s="211">
        <v>27</v>
      </c>
      <c r="F42" s="211">
        <v>627</v>
      </c>
      <c r="G42" s="211">
        <v>540</v>
      </c>
      <c r="H42" s="211"/>
      <c r="I42" s="187">
        <f>SUM(B42:E42)/F42</f>
        <v>1.861244019138756</v>
      </c>
      <c r="J42" s="188">
        <f>(G42/SUM(B42:E42))*100</f>
        <v>46.272493573264782</v>
      </c>
      <c r="K42" s="272">
        <f>(F42/SUM(B42:E42))*100</f>
        <v>53.727506426735218</v>
      </c>
      <c r="L42" s="153"/>
      <c r="M42" s="153"/>
    </row>
    <row r="43" spans="1:13" s="220" customFormat="1" ht="20.25" customHeight="1">
      <c r="A43" s="213"/>
      <c r="B43" s="211"/>
      <c r="C43" s="211"/>
      <c r="D43" s="211"/>
      <c r="E43" s="211"/>
      <c r="F43" s="211"/>
      <c r="G43" s="211"/>
      <c r="H43" s="211"/>
      <c r="I43" s="187"/>
      <c r="J43" s="188"/>
      <c r="K43" s="272"/>
      <c r="L43" s="153"/>
      <c r="M43" s="153"/>
    </row>
    <row r="44" spans="1:13" s="220" customFormat="1" ht="20.25" customHeight="1">
      <c r="A44" s="215" t="s">
        <v>694</v>
      </c>
      <c r="B44" s="170">
        <f t="shared" ref="B44:G44" si="18">SUM(B45:B50)</f>
        <v>2179</v>
      </c>
      <c r="C44" s="170">
        <f t="shared" si="18"/>
        <v>2702</v>
      </c>
      <c r="D44" s="170">
        <f t="shared" si="18"/>
        <v>34</v>
      </c>
      <c r="E44" s="170">
        <f t="shared" si="18"/>
        <v>257</v>
      </c>
      <c r="F44" s="170">
        <f t="shared" si="18"/>
        <v>2747</v>
      </c>
      <c r="G44" s="170">
        <f t="shared" si="18"/>
        <v>2425</v>
      </c>
      <c r="H44" s="170"/>
      <c r="I44" s="183">
        <f t="shared" ref="I44:I50" si="19">SUM(B44:E44)/F44</f>
        <v>1.8827812158718602</v>
      </c>
      <c r="J44" s="184">
        <f t="shared" ref="J44:J50" si="20">(G44/SUM(B44:E44))*100</f>
        <v>46.887084300077341</v>
      </c>
      <c r="K44" s="271">
        <f t="shared" ref="K44:K50" si="21">(F44/SUM(B44:E44))*100</f>
        <v>53.112915699922659</v>
      </c>
      <c r="L44" s="153"/>
      <c r="M44" s="153"/>
    </row>
    <row r="45" spans="1:13" s="220" customFormat="1" ht="20.25" customHeight="1">
      <c r="A45" s="191" t="s">
        <v>695</v>
      </c>
      <c r="B45" s="211">
        <v>734</v>
      </c>
      <c r="C45" s="211">
        <v>945</v>
      </c>
      <c r="D45" s="211">
        <v>9</v>
      </c>
      <c r="E45" s="211">
        <v>6</v>
      </c>
      <c r="F45" s="211">
        <v>891</v>
      </c>
      <c r="G45" s="211">
        <v>803</v>
      </c>
      <c r="H45" s="211"/>
      <c r="I45" s="187">
        <f t="shared" si="19"/>
        <v>1.9012345679012346</v>
      </c>
      <c r="J45" s="188">
        <f t="shared" si="20"/>
        <v>47.402597402597401</v>
      </c>
      <c r="K45" s="272">
        <f t="shared" si="21"/>
        <v>52.597402597402599</v>
      </c>
      <c r="L45" s="153"/>
      <c r="M45" s="153"/>
    </row>
    <row r="46" spans="1:13" s="220" customFormat="1" ht="20.25" customHeight="1">
      <c r="A46" s="191" t="s">
        <v>696</v>
      </c>
      <c r="B46" s="211">
        <v>488</v>
      </c>
      <c r="C46" s="211">
        <v>744</v>
      </c>
      <c r="D46" s="211">
        <v>4</v>
      </c>
      <c r="E46" s="211">
        <v>198</v>
      </c>
      <c r="F46" s="211">
        <v>894</v>
      </c>
      <c r="G46" s="211">
        <v>540</v>
      </c>
      <c r="H46" s="211"/>
      <c r="I46" s="187">
        <f t="shared" si="19"/>
        <v>1.6040268456375839</v>
      </c>
      <c r="J46" s="188">
        <f t="shared" si="20"/>
        <v>37.656903765690373</v>
      </c>
      <c r="K46" s="272">
        <f t="shared" si="21"/>
        <v>62.343096234309627</v>
      </c>
      <c r="L46" s="153"/>
      <c r="M46" s="153"/>
    </row>
    <row r="47" spans="1:13" s="220" customFormat="1" ht="20.25" customHeight="1">
      <c r="A47" s="191" t="s">
        <v>899</v>
      </c>
      <c r="B47" s="211">
        <v>95</v>
      </c>
      <c r="C47" s="211">
        <v>94</v>
      </c>
      <c r="D47" s="211">
        <v>2</v>
      </c>
      <c r="E47" s="211">
        <v>1</v>
      </c>
      <c r="F47" s="211">
        <v>82</v>
      </c>
      <c r="G47" s="211">
        <v>110</v>
      </c>
      <c r="H47" s="216"/>
      <c r="I47" s="187">
        <f t="shared" si="19"/>
        <v>2.3414634146341462</v>
      </c>
      <c r="J47" s="188">
        <f t="shared" si="20"/>
        <v>57.291666666666664</v>
      </c>
      <c r="K47" s="272">
        <f t="shared" si="21"/>
        <v>42.708333333333329</v>
      </c>
      <c r="L47" s="153"/>
      <c r="M47" s="153"/>
    </row>
    <row r="48" spans="1:13" s="220" customFormat="1" ht="20.25" customHeight="1">
      <c r="A48" s="191" t="s">
        <v>300</v>
      </c>
      <c r="B48" s="211">
        <v>119</v>
      </c>
      <c r="C48" s="211">
        <v>141</v>
      </c>
      <c r="D48" s="211">
        <v>7</v>
      </c>
      <c r="E48" s="211">
        <v>33</v>
      </c>
      <c r="F48" s="211">
        <v>172</v>
      </c>
      <c r="G48" s="211">
        <v>128</v>
      </c>
      <c r="H48" s="216"/>
      <c r="I48" s="187">
        <f t="shared" si="19"/>
        <v>1.7441860465116279</v>
      </c>
      <c r="J48" s="188">
        <f t="shared" si="20"/>
        <v>42.666666666666671</v>
      </c>
      <c r="K48" s="272">
        <f t="shared" si="21"/>
        <v>57.333333333333336</v>
      </c>
      <c r="L48" s="153"/>
      <c r="M48" s="153"/>
    </row>
    <row r="49" spans="1:13" s="220" customFormat="1" ht="20.25" customHeight="1">
      <c r="A49" s="191" t="s">
        <v>301</v>
      </c>
      <c r="B49" s="211">
        <v>435</v>
      </c>
      <c r="C49" s="211">
        <v>416</v>
      </c>
      <c r="D49" s="211">
        <v>9</v>
      </c>
      <c r="E49" s="211">
        <v>1</v>
      </c>
      <c r="F49" s="211">
        <v>347</v>
      </c>
      <c r="G49" s="211">
        <v>514</v>
      </c>
      <c r="H49" s="216"/>
      <c r="I49" s="187">
        <f t="shared" si="19"/>
        <v>2.4812680115273773</v>
      </c>
      <c r="J49" s="188">
        <f t="shared" si="20"/>
        <v>59.698025551684083</v>
      </c>
      <c r="K49" s="272">
        <f t="shared" si="21"/>
        <v>40.301974448315917</v>
      </c>
      <c r="L49" s="153"/>
      <c r="M49" s="153"/>
    </row>
    <row r="50" spans="1:13" s="220" customFormat="1" ht="20.25" customHeight="1">
      <c r="A50" s="191" t="s">
        <v>302</v>
      </c>
      <c r="B50" s="211">
        <v>308</v>
      </c>
      <c r="C50" s="211">
        <v>362</v>
      </c>
      <c r="D50" s="211">
        <v>3</v>
      </c>
      <c r="E50" s="211">
        <v>18</v>
      </c>
      <c r="F50" s="211">
        <v>361</v>
      </c>
      <c r="G50" s="211">
        <v>330</v>
      </c>
      <c r="H50" s="216"/>
      <c r="I50" s="187">
        <f t="shared" si="19"/>
        <v>1.9141274238227146</v>
      </c>
      <c r="J50" s="188">
        <f t="shared" si="20"/>
        <v>47.756874095513744</v>
      </c>
      <c r="K50" s="272">
        <f t="shared" si="21"/>
        <v>52.243125904486256</v>
      </c>
      <c r="L50" s="153"/>
      <c r="M50" s="153"/>
    </row>
    <row r="51" spans="1:13" s="220" customFormat="1" ht="20.25" customHeight="1">
      <c r="A51" s="213"/>
      <c r="B51" s="211"/>
      <c r="C51" s="211"/>
      <c r="D51" s="211"/>
      <c r="E51" s="211"/>
      <c r="F51" s="211"/>
      <c r="G51" s="211"/>
      <c r="H51" s="216"/>
      <c r="I51" s="187"/>
      <c r="J51" s="188"/>
      <c r="K51" s="272"/>
      <c r="L51" s="153"/>
      <c r="M51" s="153"/>
    </row>
    <row r="52" spans="1:13" s="220" customFormat="1" ht="20.25" customHeight="1">
      <c r="A52" s="215" t="s">
        <v>245</v>
      </c>
      <c r="B52" s="170">
        <f t="shared" ref="B52:G52" si="22">SUM(B53:B59)</f>
        <v>4561</v>
      </c>
      <c r="C52" s="170">
        <f t="shared" si="22"/>
        <v>4533</v>
      </c>
      <c r="D52" s="170">
        <f t="shared" si="22"/>
        <v>102</v>
      </c>
      <c r="E52" s="170">
        <f t="shared" si="22"/>
        <v>1308</v>
      </c>
      <c r="F52" s="170">
        <f t="shared" si="22"/>
        <v>6227</v>
      </c>
      <c r="G52" s="170">
        <f t="shared" si="22"/>
        <v>4277</v>
      </c>
      <c r="H52" s="402"/>
      <c r="I52" s="183">
        <f t="shared" ref="I52:I59" si="23">SUM(B52:E52)/F52</f>
        <v>1.686847599164927</v>
      </c>
      <c r="J52" s="184">
        <f t="shared" ref="J52:J59" si="24">(G52/SUM(B52:E52))*100</f>
        <v>40.717821782178213</v>
      </c>
      <c r="K52" s="271">
        <f t="shared" ref="K52:K59" si="25">(F52/SUM(B52:E52))*100</f>
        <v>59.28217821782178</v>
      </c>
      <c r="L52" s="153"/>
      <c r="M52" s="153"/>
    </row>
    <row r="53" spans="1:13" s="220" customFormat="1" ht="20.25" customHeight="1">
      <c r="A53" s="191" t="s">
        <v>697</v>
      </c>
      <c r="B53" s="211">
        <v>1813</v>
      </c>
      <c r="C53" s="211">
        <v>1807</v>
      </c>
      <c r="D53" s="211">
        <v>6</v>
      </c>
      <c r="E53" s="211">
        <v>310</v>
      </c>
      <c r="F53" s="211">
        <v>2207</v>
      </c>
      <c r="G53" s="211">
        <v>1729</v>
      </c>
      <c r="H53" s="216"/>
      <c r="I53" s="187">
        <f t="shared" si="23"/>
        <v>1.7834164023561396</v>
      </c>
      <c r="J53" s="188">
        <f t="shared" si="24"/>
        <v>43.927845528455286</v>
      </c>
      <c r="K53" s="272">
        <f t="shared" si="25"/>
        <v>56.072154471544714</v>
      </c>
      <c r="L53" s="153"/>
      <c r="M53" s="153"/>
    </row>
    <row r="54" spans="1:13" s="220" customFormat="1" ht="20.25" customHeight="1">
      <c r="A54" s="191" t="s">
        <v>698</v>
      </c>
      <c r="B54" s="211">
        <v>691</v>
      </c>
      <c r="C54" s="211">
        <v>784</v>
      </c>
      <c r="D54" s="211">
        <v>7</v>
      </c>
      <c r="E54" s="211">
        <v>580</v>
      </c>
      <c r="F54" s="211">
        <v>1416</v>
      </c>
      <c r="G54" s="211">
        <v>646</v>
      </c>
      <c r="H54" s="216"/>
      <c r="I54" s="187">
        <f t="shared" si="23"/>
        <v>1.4562146892655368</v>
      </c>
      <c r="J54" s="188">
        <f t="shared" si="24"/>
        <v>31.328806983511154</v>
      </c>
      <c r="K54" s="272">
        <f t="shared" si="25"/>
        <v>68.671193016488843</v>
      </c>
      <c r="L54" s="153"/>
      <c r="M54" s="153"/>
    </row>
    <row r="55" spans="1:13" s="220" customFormat="1" ht="20.25" customHeight="1">
      <c r="A55" s="191" t="s">
        <v>900</v>
      </c>
      <c r="B55" s="211">
        <v>1044</v>
      </c>
      <c r="C55" s="211">
        <v>956</v>
      </c>
      <c r="D55" s="211">
        <v>7</v>
      </c>
      <c r="E55" s="211">
        <v>33</v>
      </c>
      <c r="F55" s="211">
        <v>1169</v>
      </c>
      <c r="G55" s="211">
        <v>871</v>
      </c>
      <c r="H55" s="216"/>
      <c r="I55" s="187">
        <f t="shared" si="23"/>
        <v>1.7450812660393498</v>
      </c>
      <c r="J55" s="188">
        <f t="shared" si="24"/>
        <v>42.696078431372548</v>
      </c>
      <c r="K55" s="272">
        <f t="shared" si="25"/>
        <v>57.303921568627445</v>
      </c>
      <c r="L55" s="153"/>
      <c r="M55" s="153"/>
    </row>
    <row r="56" spans="1:13" s="220" customFormat="1" ht="20.25" customHeight="1">
      <c r="A56" s="191" t="s">
        <v>901</v>
      </c>
      <c r="B56" s="211">
        <v>142</v>
      </c>
      <c r="C56" s="211">
        <v>152</v>
      </c>
      <c r="D56" s="211">
        <v>2</v>
      </c>
      <c r="E56" s="211">
        <v>3</v>
      </c>
      <c r="F56" s="211">
        <v>157</v>
      </c>
      <c r="G56" s="211">
        <v>142</v>
      </c>
      <c r="H56" s="216"/>
      <c r="I56" s="187">
        <f t="shared" si="23"/>
        <v>1.9044585987261147</v>
      </c>
      <c r="J56" s="188">
        <f t="shared" si="24"/>
        <v>47.491638795986624</v>
      </c>
      <c r="K56" s="272">
        <f t="shared" si="25"/>
        <v>52.508361204013376</v>
      </c>
      <c r="L56" s="153"/>
      <c r="M56" s="153"/>
    </row>
    <row r="57" spans="1:13" ht="20.25" customHeight="1">
      <c r="A57" s="191" t="s">
        <v>308</v>
      </c>
      <c r="B57" s="211">
        <v>541</v>
      </c>
      <c r="C57" s="211">
        <v>580</v>
      </c>
      <c r="D57" s="211">
        <v>45</v>
      </c>
      <c r="E57" s="211">
        <v>325</v>
      </c>
      <c r="F57" s="211">
        <v>872</v>
      </c>
      <c r="G57" s="211">
        <v>619</v>
      </c>
      <c r="H57" s="216"/>
      <c r="I57" s="187">
        <f t="shared" si="23"/>
        <v>1.709862385321101</v>
      </c>
      <c r="J57" s="188">
        <f t="shared" si="24"/>
        <v>41.515761234071093</v>
      </c>
      <c r="K57" s="272">
        <f t="shared" si="25"/>
        <v>58.484238765928907</v>
      </c>
    </row>
    <row r="58" spans="1:13" ht="20.25" customHeight="1">
      <c r="A58" s="191" t="s">
        <v>309</v>
      </c>
      <c r="B58" s="211">
        <v>63</v>
      </c>
      <c r="C58" s="211">
        <v>103</v>
      </c>
      <c r="D58" s="211">
        <v>4</v>
      </c>
      <c r="E58" s="211">
        <v>19</v>
      </c>
      <c r="F58" s="211">
        <v>120</v>
      </c>
      <c r="G58" s="211">
        <v>69</v>
      </c>
      <c r="H58" s="216"/>
      <c r="I58" s="187">
        <f t="shared" si="23"/>
        <v>1.575</v>
      </c>
      <c r="J58" s="188">
        <f t="shared" si="24"/>
        <v>36.507936507936506</v>
      </c>
      <c r="K58" s="272">
        <f t="shared" si="25"/>
        <v>63.492063492063487</v>
      </c>
    </row>
    <row r="59" spans="1:13" s="220" customFormat="1" ht="20.25" customHeight="1">
      <c r="A59" s="191" t="s">
        <v>311</v>
      </c>
      <c r="B59" s="211">
        <v>267</v>
      </c>
      <c r="C59" s="211">
        <v>151</v>
      </c>
      <c r="D59" s="211">
        <v>31</v>
      </c>
      <c r="E59" s="211">
        <v>38</v>
      </c>
      <c r="F59" s="211">
        <v>286</v>
      </c>
      <c r="G59" s="211">
        <v>201</v>
      </c>
      <c r="H59" s="216"/>
      <c r="I59" s="187">
        <f t="shared" si="23"/>
        <v>1.7027972027972027</v>
      </c>
      <c r="J59" s="188">
        <f t="shared" si="24"/>
        <v>41.273100616016428</v>
      </c>
      <c r="K59" s="272">
        <f t="shared" si="25"/>
        <v>58.726899383983579</v>
      </c>
      <c r="L59" s="153"/>
      <c r="M59" s="153"/>
    </row>
    <row r="60" spans="1:13" s="220" customFormat="1" ht="20.25" customHeight="1">
      <c r="A60" s="213"/>
      <c r="B60" s="211"/>
      <c r="C60" s="211"/>
      <c r="D60" s="211"/>
      <c r="E60" s="211"/>
      <c r="F60" s="211"/>
      <c r="G60" s="211"/>
      <c r="H60" s="216"/>
      <c r="I60" s="187"/>
      <c r="J60" s="188"/>
      <c r="K60" s="272"/>
      <c r="L60" s="153"/>
      <c r="M60" s="153"/>
    </row>
    <row r="61" spans="1:13" s="220" customFormat="1" ht="20.25" customHeight="1">
      <c r="A61" s="215" t="s">
        <v>699</v>
      </c>
      <c r="B61" s="170">
        <f t="shared" ref="B61:G61" si="26">SUM(B62:B67)</f>
        <v>3967</v>
      </c>
      <c r="C61" s="170">
        <f t="shared" si="26"/>
        <v>4654</v>
      </c>
      <c r="D61" s="170">
        <f t="shared" si="26"/>
        <v>27</v>
      </c>
      <c r="E61" s="170">
        <f t="shared" si="26"/>
        <v>483</v>
      </c>
      <c r="F61" s="170">
        <f t="shared" si="26"/>
        <v>5670</v>
      </c>
      <c r="G61" s="170">
        <f t="shared" si="26"/>
        <v>3461</v>
      </c>
      <c r="H61" s="402"/>
      <c r="I61" s="183">
        <f t="shared" ref="I61:I67" si="27">SUM(B61:E61)/F61</f>
        <v>1.6104056437389771</v>
      </c>
      <c r="J61" s="184">
        <f t="shared" ref="J61:J67" si="28">(G61/SUM(B61:E61))*100</f>
        <v>37.903844047749423</v>
      </c>
      <c r="K61" s="271">
        <f t="shared" ref="K61:K67" si="29">(F61/SUM(B61:E61))*100</f>
        <v>62.096155952250577</v>
      </c>
      <c r="L61" s="153"/>
      <c r="M61" s="153"/>
    </row>
    <row r="62" spans="1:13" s="274" customFormat="1" ht="20.25" customHeight="1">
      <c r="A62" s="191" t="s">
        <v>700</v>
      </c>
      <c r="B62" s="211">
        <v>1314</v>
      </c>
      <c r="C62" s="211">
        <v>2073</v>
      </c>
      <c r="D62" s="211">
        <v>4</v>
      </c>
      <c r="E62" s="211">
        <v>397</v>
      </c>
      <c r="F62" s="211">
        <v>2525</v>
      </c>
      <c r="G62" s="211">
        <v>1263</v>
      </c>
      <c r="H62" s="216"/>
      <c r="I62" s="187">
        <f t="shared" si="27"/>
        <v>1.5001980198019802</v>
      </c>
      <c r="J62" s="188">
        <f t="shared" si="28"/>
        <v>33.342133051742344</v>
      </c>
      <c r="K62" s="272">
        <f t="shared" si="29"/>
        <v>66.657866948257663</v>
      </c>
      <c r="L62" s="273"/>
      <c r="M62" s="273"/>
    </row>
    <row r="63" spans="1:13" s="220" customFormat="1" ht="20.25" customHeight="1">
      <c r="A63" s="191" t="s">
        <v>902</v>
      </c>
      <c r="B63" s="211">
        <v>758</v>
      </c>
      <c r="C63" s="211">
        <v>742</v>
      </c>
      <c r="D63" s="211">
        <v>5</v>
      </c>
      <c r="E63" s="211">
        <v>0</v>
      </c>
      <c r="F63" s="211">
        <v>871</v>
      </c>
      <c r="G63" s="211">
        <v>634</v>
      </c>
      <c r="H63" s="216"/>
      <c r="I63" s="187">
        <f t="shared" si="27"/>
        <v>1.7278989667049369</v>
      </c>
      <c r="J63" s="188">
        <f t="shared" si="28"/>
        <v>42.126245847176079</v>
      </c>
      <c r="K63" s="272">
        <f t="shared" si="29"/>
        <v>57.873754152823921</v>
      </c>
      <c r="L63" s="153"/>
      <c r="M63" s="153"/>
    </row>
    <row r="64" spans="1:13" s="220" customFormat="1" ht="20.25" customHeight="1">
      <c r="A64" s="191" t="s">
        <v>903</v>
      </c>
      <c r="B64" s="211">
        <v>297</v>
      </c>
      <c r="C64" s="211">
        <v>307</v>
      </c>
      <c r="D64" s="211">
        <v>2</v>
      </c>
      <c r="E64" s="211">
        <v>17</v>
      </c>
      <c r="F64" s="211">
        <v>354</v>
      </c>
      <c r="G64" s="211">
        <v>269</v>
      </c>
      <c r="H64" s="216"/>
      <c r="I64" s="187">
        <f t="shared" si="27"/>
        <v>1.7598870056497176</v>
      </c>
      <c r="J64" s="188">
        <f t="shared" si="28"/>
        <v>43.178170144462278</v>
      </c>
      <c r="K64" s="272">
        <f t="shared" si="29"/>
        <v>56.821829855537722</v>
      </c>
      <c r="L64" s="153"/>
      <c r="M64" s="153"/>
    </row>
    <row r="65" spans="1:13" s="220" customFormat="1" ht="20.25" customHeight="1">
      <c r="A65" s="191" t="s">
        <v>816</v>
      </c>
      <c r="B65" s="211">
        <v>743</v>
      </c>
      <c r="C65" s="211">
        <v>516</v>
      </c>
      <c r="D65" s="211">
        <v>4</v>
      </c>
      <c r="E65" s="211">
        <v>0</v>
      </c>
      <c r="F65" s="211">
        <v>762</v>
      </c>
      <c r="G65" s="211">
        <v>501</v>
      </c>
      <c r="H65" s="216"/>
      <c r="I65" s="187">
        <f t="shared" si="27"/>
        <v>1.6574803149606299</v>
      </c>
      <c r="J65" s="188">
        <f t="shared" si="28"/>
        <v>39.667458432304038</v>
      </c>
      <c r="K65" s="272">
        <f t="shared" si="29"/>
        <v>60.332541567695962</v>
      </c>
      <c r="L65" s="153"/>
      <c r="M65" s="153"/>
    </row>
    <row r="66" spans="1:13" s="220" customFormat="1" ht="20.25" customHeight="1">
      <c r="A66" s="191" t="s">
        <v>817</v>
      </c>
      <c r="B66" s="211">
        <v>192</v>
      </c>
      <c r="C66" s="211">
        <v>194</v>
      </c>
      <c r="D66" s="211">
        <v>3</v>
      </c>
      <c r="E66" s="211">
        <v>0</v>
      </c>
      <c r="F66" s="211">
        <v>239</v>
      </c>
      <c r="G66" s="211">
        <v>150</v>
      </c>
      <c r="H66" s="216"/>
      <c r="I66" s="187">
        <f t="shared" si="27"/>
        <v>1.6276150627615062</v>
      </c>
      <c r="J66" s="188">
        <f t="shared" si="28"/>
        <v>38.560411311053983</v>
      </c>
      <c r="K66" s="272">
        <f t="shared" si="29"/>
        <v>61.43958868894601</v>
      </c>
      <c r="L66" s="153"/>
      <c r="M66" s="153"/>
    </row>
    <row r="67" spans="1:13" ht="20.25" customHeight="1">
      <c r="A67" s="191" t="s">
        <v>904</v>
      </c>
      <c r="B67" s="211">
        <v>663</v>
      </c>
      <c r="C67" s="211">
        <v>822</v>
      </c>
      <c r="D67" s="211">
        <v>9</v>
      </c>
      <c r="E67" s="211">
        <v>69</v>
      </c>
      <c r="F67" s="211">
        <v>919</v>
      </c>
      <c r="G67" s="211">
        <v>644</v>
      </c>
      <c r="H67" s="216"/>
      <c r="I67" s="187">
        <f t="shared" si="27"/>
        <v>1.7007616974972797</v>
      </c>
      <c r="J67" s="188">
        <f t="shared" si="28"/>
        <v>41.202815099168269</v>
      </c>
      <c r="K67" s="272">
        <f t="shared" si="29"/>
        <v>58.797184900831731</v>
      </c>
    </row>
    <row r="68" spans="1:13" s="220" customFormat="1" ht="20.25" customHeight="1">
      <c r="A68" s="213"/>
      <c r="B68" s="211"/>
      <c r="C68" s="211"/>
      <c r="D68" s="211"/>
      <c r="E68" s="211"/>
      <c r="F68" s="211"/>
      <c r="G68" s="211"/>
      <c r="H68" s="216"/>
      <c r="I68" s="187"/>
      <c r="J68" s="188"/>
      <c r="K68" s="272"/>
      <c r="L68" s="153"/>
      <c r="M68" s="153"/>
    </row>
    <row r="69" spans="1:13" s="220" customFormat="1" ht="20.25" customHeight="1">
      <c r="A69" s="215" t="s">
        <v>701</v>
      </c>
      <c r="B69" s="170">
        <f t="shared" ref="B69:G69" si="30">SUM(B70:B75)</f>
        <v>2213</v>
      </c>
      <c r="C69" s="170">
        <f t="shared" si="30"/>
        <v>2496</v>
      </c>
      <c r="D69" s="170">
        <f t="shared" si="30"/>
        <v>28</v>
      </c>
      <c r="E69" s="170">
        <f t="shared" si="30"/>
        <v>396</v>
      </c>
      <c r="F69" s="170">
        <f t="shared" si="30"/>
        <v>3083</v>
      </c>
      <c r="G69" s="170">
        <f t="shared" si="30"/>
        <v>2050</v>
      </c>
      <c r="H69" s="402"/>
      <c r="I69" s="183">
        <f t="shared" ref="I69:I75" si="31">SUM(B69:E69)/F69</f>
        <v>1.6649367499189101</v>
      </c>
      <c r="J69" s="184">
        <f t="shared" ref="J69:J75" si="32">(G69/SUM(B69:E69))*100</f>
        <v>39.937658289499318</v>
      </c>
      <c r="K69" s="271">
        <f t="shared" ref="K69:K75" si="33">(F69/SUM(B69:E69))*100</f>
        <v>60.062341710500675</v>
      </c>
      <c r="L69" s="153"/>
      <c r="M69" s="153"/>
    </row>
    <row r="70" spans="1:13" s="220" customFormat="1" ht="20.25" customHeight="1">
      <c r="A70" s="191" t="s">
        <v>905</v>
      </c>
      <c r="B70" s="211">
        <v>1020</v>
      </c>
      <c r="C70" s="211">
        <v>1098</v>
      </c>
      <c r="D70" s="211">
        <v>5</v>
      </c>
      <c r="E70" s="211">
        <v>137</v>
      </c>
      <c r="F70" s="211">
        <v>1330</v>
      </c>
      <c r="G70" s="211">
        <v>930</v>
      </c>
      <c r="H70" s="216"/>
      <c r="I70" s="187">
        <f t="shared" si="31"/>
        <v>1.6992481203007519</v>
      </c>
      <c r="J70" s="188">
        <f t="shared" si="32"/>
        <v>41.150442477876105</v>
      </c>
      <c r="K70" s="272">
        <f t="shared" si="33"/>
        <v>58.849557522123895</v>
      </c>
      <c r="L70" s="153"/>
      <c r="M70" s="153"/>
    </row>
    <row r="71" spans="1:13" s="220" customFormat="1" ht="20.25" customHeight="1">
      <c r="A71" s="234" t="s">
        <v>906</v>
      </c>
      <c r="B71" s="211">
        <v>384</v>
      </c>
      <c r="C71" s="211">
        <v>501</v>
      </c>
      <c r="D71" s="211">
        <v>6</v>
      </c>
      <c r="E71" s="211">
        <v>179</v>
      </c>
      <c r="F71" s="211">
        <v>684</v>
      </c>
      <c r="G71" s="211">
        <v>386</v>
      </c>
      <c r="H71" s="216"/>
      <c r="I71" s="187">
        <f t="shared" si="31"/>
        <v>1.564327485380117</v>
      </c>
      <c r="J71" s="188">
        <f t="shared" si="32"/>
        <v>36.074766355140184</v>
      </c>
      <c r="K71" s="272">
        <f t="shared" si="33"/>
        <v>63.925233644859816</v>
      </c>
      <c r="L71" s="153"/>
      <c r="M71" s="153"/>
    </row>
    <row r="72" spans="1:13" s="220" customFormat="1" ht="20.25" customHeight="1">
      <c r="A72" s="191" t="s">
        <v>907</v>
      </c>
      <c r="B72" s="211">
        <v>190</v>
      </c>
      <c r="C72" s="211">
        <v>199</v>
      </c>
      <c r="D72" s="211">
        <v>6</v>
      </c>
      <c r="E72" s="211">
        <v>0</v>
      </c>
      <c r="F72" s="211">
        <v>229</v>
      </c>
      <c r="G72" s="211">
        <v>166</v>
      </c>
      <c r="H72" s="216"/>
      <c r="I72" s="187">
        <f t="shared" si="31"/>
        <v>1.7248908296943231</v>
      </c>
      <c r="J72" s="188">
        <f t="shared" si="32"/>
        <v>42.025316455696206</v>
      </c>
      <c r="K72" s="272">
        <f t="shared" si="33"/>
        <v>57.974683544303794</v>
      </c>
      <c r="L72" s="153"/>
      <c r="M72" s="153"/>
    </row>
    <row r="73" spans="1:13" s="220" customFormat="1" ht="20.25" customHeight="1">
      <c r="A73" s="191" t="s">
        <v>825</v>
      </c>
      <c r="B73" s="211">
        <v>310</v>
      </c>
      <c r="C73" s="211">
        <v>254</v>
      </c>
      <c r="D73" s="211">
        <v>8</v>
      </c>
      <c r="E73" s="211">
        <v>4</v>
      </c>
      <c r="F73" s="211">
        <v>347</v>
      </c>
      <c r="G73" s="211">
        <v>229</v>
      </c>
      <c r="H73" s="216"/>
      <c r="I73" s="187">
        <f t="shared" si="31"/>
        <v>1.659942363112392</v>
      </c>
      <c r="J73" s="188">
        <f t="shared" si="32"/>
        <v>39.756944444444443</v>
      </c>
      <c r="K73" s="272">
        <f t="shared" si="33"/>
        <v>60.243055555555557</v>
      </c>
      <c r="L73" s="153"/>
      <c r="M73" s="153"/>
    </row>
    <row r="74" spans="1:13" s="220" customFormat="1" ht="20.25" customHeight="1">
      <c r="A74" s="191" t="s">
        <v>827</v>
      </c>
      <c r="B74" s="211">
        <v>136</v>
      </c>
      <c r="C74" s="211">
        <v>228</v>
      </c>
      <c r="D74" s="211">
        <v>0</v>
      </c>
      <c r="E74" s="211">
        <v>55</v>
      </c>
      <c r="F74" s="211">
        <v>268</v>
      </c>
      <c r="G74" s="211">
        <v>151</v>
      </c>
      <c r="H74" s="216"/>
      <c r="I74" s="187">
        <f t="shared" si="31"/>
        <v>1.5634328358208955</v>
      </c>
      <c r="J74" s="188">
        <f t="shared" si="32"/>
        <v>36.038186157517899</v>
      </c>
      <c r="K74" s="272">
        <f t="shared" si="33"/>
        <v>63.961813842482094</v>
      </c>
      <c r="L74" s="153"/>
      <c r="M74" s="153"/>
    </row>
    <row r="75" spans="1:13" s="220" customFormat="1" ht="20.25" customHeight="1">
      <c r="A75" s="191" t="s">
        <v>908</v>
      </c>
      <c r="B75" s="211">
        <v>173</v>
      </c>
      <c r="C75" s="211">
        <v>216</v>
      </c>
      <c r="D75" s="211">
        <v>3</v>
      </c>
      <c r="E75" s="211">
        <v>21</v>
      </c>
      <c r="F75" s="211">
        <v>225</v>
      </c>
      <c r="G75" s="211">
        <v>188</v>
      </c>
      <c r="H75" s="216"/>
      <c r="I75" s="187">
        <f t="shared" si="31"/>
        <v>1.8355555555555556</v>
      </c>
      <c r="J75" s="188">
        <f t="shared" si="32"/>
        <v>45.520581113801448</v>
      </c>
      <c r="K75" s="272">
        <f t="shared" si="33"/>
        <v>54.479418886198552</v>
      </c>
      <c r="L75" s="153"/>
      <c r="M75" s="153"/>
    </row>
    <row r="76" spans="1:13" s="220" customFormat="1" ht="20.25" customHeight="1">
      <c r="A76" s="213"/>
      <c r="B76" s="211"/>
      <c r="C76" s="211"/>
      <c r="D76" s="211"/>
      <c r="E76" s="211"/>
      <c r="F76" s="211"/>
      <c r="G76" s="211"/>
      <c r="H76" s="216"/>
      <c r="I76" s="187"/>
      <c r="J76" s="188"/>
      <c r="K76" s="272"/>
      <c r="L76" s="153"/>
      <c r="M76" s="153"/>
    </row>
    <row r="77" spans="1:13" s="220" customFormat="1" ht="20.25" customHeight="1">
      <c r="A77" s="215" t="s">
        <v>702</v>
      </c>
      <c r="B77" s="170">
        <f t="shared" ref="B77:G77" si="34">SUM(B78:B83)</f>
        <v>3057</v>
      </c>
      <c r="C77" s="170">
        <f t="shared" si="34"/>
        <v>3059</v>
      </c>
      <c r="D77" s="170">
        <f t="shared" si="34"/>
        <v>23</v>
      </c>
      <c r="E77" s="170">
        <f t="shared" si="34"/>
        <v>739</v>
      </c>
      <c r="F77" s="170">
        <f t="shared" si="34"/>
        <v>4236</v>
      </c>
      <c r="G77" s="170">
        <f t="shared" si="34"/>
        <v>2642</v>
      </c>
      <c r="H77" s="402"/>
      <c r="I77" s="183">
        <f t="shared" ref="I77:I83" si="35">SUM(B77:E77)/F77</f>
        <v>1.6237016052880076</v>
      </c>
      <c r="J77" s="184">
        <f t="shared" ref="J77:J83" si="36">(G77/SUM(B77:E77))*100</f>
        <v>38.41232916545507</v>
      </c>
      <c r="K77" s="271">
        <f t="shared" ref="K77:K83" si="37">(F77/SUM(B77:E77))*100</f>
        <v>61.58767083454493</v>
      </c>
      <c r="L77" s="153"/>
      <c r="M77" s="153"/>
    </row>
    <row r="78" spans="1:13" s="220" customFormat="1" ht="20.25" customHeight="1">
      <c r="A78" s="191" t="s">
        <v>909</v>
      </c>
      <c r="B78" s="211">
        <v>935</v>
      </c>
      <c r="C78" s="211">
        <v>921</v>
      </c>
      <c r="D78" s="211">
        <v>1</v>
      </c>
      <c r="E78" s="211">
        <v>320</v>
      </c>
      <c r="F78" s="211">
        <v>1269</v>
      </c>
      <c r="G78" s="211">
        <v>908</v>
      </c>
      <c r="H78" s="216"/>
      <c r="I78" s="187">
        <f t="shared" si="35"/>
        <v>1.7155240346729708</v>
      </c>
      <c r="J78" s="188">
        <f t="shared" si="36"/>
        <v>41.70877354157097</v>
      </c>
      <c r="K78" s="272">
        <f t="shared" si="37"/>
        <v>58.291226458429037</v>
      </c>
      <c r="L78" s="153"/>
      <c r="M78" s="153"/>
    </row>
    <row r="79" spans="1:13" s="220" customFormat="1" ht="20.25" customHeight="1">
      <c r="A79" s="191" t="s">
        <v>910</v>
      </c>
      <c r="B79" s="211">
        <v>1296</v>
      </c>
      <c r="C79" s="211">
        <v>1200</v>
      </c>
      <c r="D79" s="211">
        <v>19</v>
      </c>
      <c r="E79" s="211">
        <v>394</v>
      </c>
      <c r="F79" s="211">
        <v>1977</v>
      </c>
      <c r="G79" s="211">
        <v>932</v>
      </c>
      <c r="H79" s="216"/>
      <c r="I79" s="187">
        <f t="shared" si="35"/>
        <v>1.4714213454729388</v>
      </c>
      <c r="J79" s="188">
        <f t="shared" si="36"/>
        <v>32.038501203162603</v>
      </c>
      <c r="K79" s="272">
        <f t="shared" si="37"/>
        <v>67.961498796837404</v>
      </c>
      <c r="L79" s="153"/>
      <c r="M79" s="153"/>
    </row>
    <row r="80" spans="1:13" s="220" customFormat="1" ht="20.25" customHeight="1">
      <c r="A80" s="191" t="s">
        <v>911</v>
      </c>
      <c r="B80" s="211">
        <v>61</v>
      </c>
      <c r="C80" s="211">
        <v>110</v>
      </c>
      <c r="D80" s="211">
        <v>0</v>
      </c>
      <c r="E80" s="211">
        <v>2</v>
      </c>
      <c r="F80" s="211">
        <v>106</v>
      </c>
      <c r="G80" s="211">
        <v>67</v>
      </c>
      <c r="H80" s="216"/>
      <c r="I80" s="187">
        <f t="shared" si="35"/>
        <v>1.6320754716981132</v>
      </c>
      <c r="J80" s="188">
        <f t="shared" si="36"/>
        <v>38.728323699421964</v>
      </c>
      <c r="K80" s="272">
        <f t="shared" si="37"/>
        <v>61.271676300578036</v>
      </c>
      <c r="L80" s="153"/>
      <c r="M80" s="153"/>
    </row>
    <row r="81" spans="1:13" s="220" customFormat="1" ht="20.25" customHeight="1">
      <c r="A81" s="191" t="s">
        <v>912</v>
      </c>
      <c r="B81" s="211">
        <v>630</v>
      </c>
      <c r="C81" s="211">
        <v>641</v>
      </c>
      <c r="D81" s="211">
        <v>3</v>
      </c>
      <c r="E81" s="211">
        <v>16</v>
      </c>
      <c r="F81" s="211">
        <v>694</v>
      </c>
      <c r="G81" s="211">
        <v>596</v>
      </c>
      <c r="H81" s="216"/>
      <c r="I81" s="187">
        <f t="shared" si="35"/>
        <v>1.8587896253602305</v>
      </c>
      <c r="J81" s="188">
        <f t="shared" si="36"/>
        <v>46.201550387596903</v>
      </c>
      <c r="K81" s="272">
        <f t="shared" si="37"/>
        <v>53.798449612403097</v>
      </c>
      <c r="L81" s="153"/>
      <c r="M81" s="153"/>
    </row>
    <row r="82" spans="1:13" s="220" customFormat="1" ht="20.25" customHeight="1">
      <c r="A82" s="191" t="s">
        <v>834</v>
      </c>
      <c r="B82" s="211">
        <v>29</v>
      </c>
      <c r="C82" s="211">
        <v>43</v>
      </c>
      <c r="D82" s="211">
        <v>0</v>
      </c>
      <c r="E82" s="211">
        <v>7</v>
      </c>
      <c r="F82" s="211">
        <v>45</v>
      </c>
      <c r="G82" s="211">
        <v>34</v>
      </c>
      <c r="H82" s="216"/>
      <c r="I82" s="187">
        <f t="shared" si="35"/>
        <v>1.7555555555555555</v>
      </c>
      <c r="J82" s="188">
        <f t="shared" si="36"/>
        <v>43.037974683544306</v>
      </c>
      <c r="K82" s="272">
        <f t="shared" si="37"/>
        <v>56.962025316455701</v>
      </c>
      <c r="L82" s="153"/>
      <c r="M82" s="153"/>
    </row>
    <row r="83" spans="1:13" s="220" customFormat="1" ht="20.25" customHeight="1">
      <c r="A83" s="191" t="s">
        <v>835</v>
      </c>
      <c r="B83" s="211">
        <v>106</v>
      </c>
      <c r="C83" s="211">
        <v>144</v>
      </c>
      <c r="D83" s="211">
        <v>0</v>
      </c>
      <c r="E83" s="211">
        <v>0</v>
      </c>
      <c r="F83" s="211">
        <v>145</v>
      </c>
      <c r="G83" s="211">
        <v>105</v>
      </c>
      <c r="H83" s="216"/>
      <c r="I83" s="187">
        <f t="shared" si="35"/>
        <v>1.7241379310344827</v>
      </c>
      <c r="J83" s="188">
        <f t="shared" si="36"/>
        <v>42</v>
      </c>
      <c r="K83" s="272">
        <f t="shared" si="37"/>
        <v>57.999999999999993</v>
      </c>
      <c r="L83" s="153"/>
      <c r="M83" s="153"/>
    </row>
    <row r="84" spans="1:13" ht="20.25" customHeight="1">
      <c r="A84" s="213"/>
      <c r="B84" s="211"/>
      <c r="C84" s="211"/>
      <c r="D84" s="211"/>
      <c r="E84" s="211"/>
      <c r="F84" s="211"/>
      <c r="G84" s="211"/>
      <c r="H84" s="216"/>
      <c r="I84" s="187"/>
      <c r="J84" s="188"/>
      <c r="K84" s="272"/>
    </row>
    <row r="85" spans="1:13" s="274" customFormat="1" ht="20.25" customHeight="1">
      <c r="A85" s="215" t="s">
        <v>249</v>
      </c>
      <c r="B85" s="170">
        <f t="shared" ref="B85:G85" si="38">SUM(B86:B93)</f>
        <v>4579</v>
      </c>
      <c r="C85" s="170">
        <f t="shared" si="38"/>
        <v>3382</v>
      </c>
      <c r="D85" s="170">
        <f t="shared" si="38"/>
        <v>19</v>
      </c>
      <c r="E85" s="170">
        <f t="shared" si="38"/>
        <v>550</v>
      </c>
      <c r="F85" s="170">
        <f t="shared" si="38"/>
        <v>5960</v>
      </c>
      <c r="G85" s="170">
        <f t="shared" si="38"/>
        <v>2570</v>
      </c>
      <c r="H85" s="402"/>
      <c r="I85" s="183">
        <f t="shared" ref="I85:I93" si="39">SUM(B85:E85)/F85</f>
        <v>1.4312080536912752</v>
      </c>
      <c r="J85" s="184">
        <f t="shared" ref="J85:J93" si="40">(G85/SUM(B85:E85))*100</f>
        <v>30.128956623681123</v>
      </c>
      <c r="K85" s="271">
        <f t="shared" ref="K85:K92" si="41">(F85/SUM(B85:E85))*100</f>
        <v>69.87104337631888</v>
      </c>
      <c r="L85" s="273"/>
      <c r="M85" s="273"/>
    </row>
    <row r="86" spans="1:13" s="220" customFormat="1" ht="20.25" customHeight="1">
      <c r="A86" s="191" t="s">
        <v>703</v>
      </c>
      <c r="B86" s="211">
        <v>2907</v>
      </c>
      <c r="C86" s="211">
        <v>1696</v>
      </c>
      <c r="D86" s="211">
        <v>3</v>
      </c>
      <c r="E86" s="211">
        <v>281</v>
      </c>
      <c r="F86" s="211">
        <v>3727</v>
      </c>
      <c r="G86" s="211">
        <v>1160</v>
      </c>
      <c r="H86" s="216"/>
      <c r="I86" s="187">
        <f t="shared" si="39"/>
        <v>1.3112422860209283</v>
      </c>
      <c r="J86" s="188">
        <f t="shared" si="40"/>
        <v>23.736443625946389</v>
      </c>
      <c r="K86" s="272">
        <f t="shared" si="41"/>
        <v>76.263556374053607</v>
      </c>
      <c r="L86" s="153"/>
      <c r="M86" s="153"/>
    </row>
    <row r="87" spans="1:13" s="220" customFormat="1" ht="20.25" customHeight="1">
      <c r="A87" s="191" t="s">
        <v>838</v>
      </c>
      <c r="B87" s="211">
        <v>324</v>
      </c>
      <c r="C87" s="211">
        <v>403</v>
      </c>
      <c r="D87" s="211">
        <v>1</v>
      </c>
      <c r="E87" s="211">
        <v>106</v>
      </c>
      <c r="F87" s="211">
        <v>534</v>
      </c>
      <c r="G87" s="211">
        <v>300</v>
      </c>
      <c r="H87" s="216"/>
      <c r="I87" s="187">
        <f t="shared" si="39"/>
        <v>1.5617977528089888</v>
      </c>
      <c r="J87" s="188">
        <f t="shared" si="40"/>
        <v>35.97122302158273</v>
      </c>
      <c r="K87" s="272">
        <f t="shared" si="41"/>
        <v>64.02877697841727</v>
      </c>
      <c r="L87" s="153"/>
      <c r="M87" s="153"/>
    </row>
    <row r="88" spans="1:13" s="220" customFormat="1" ht="20.25" customHeight="1">
      <c r="A88" s="191" t="s">
        <v>843</v>
      </c>
      <c r="B88" s="211">
        <v>350</v>
      </c>
      <c r="C88" s="211">
        <v>278</v>
      </c>
      <c r="D88" s="211">
        <v>1</v>
      </c>
      <c r="E88" s="211">
        <v>46</v>
      </c>
      <c r="F88" s="211">
        <v>454</v>
      </c>
      <c r="G88" s="211">
        <v>221</v>
      </c>
      <c r="H88" s="216"/>
      <c r="I88" s="187">
        <f t="shared" si="39"/>
        <v>1.4867841409691629</v>
      </c>
      <c r="J88" s="188">
        <f t="shared" si="40"/>
        <v>32.74074074074074</v>
      </c>
      <c r="K88" s="272">
        <f t="shared" si="41"/>
        <v>67.259259259259267</v>
      </c>
      <c r="L88" s="153"/>
      <c r="M88" s="153"/>
    </row>
    <row r="89" spans="1:13" s="220" customFormat="1" ht="20.25" customHeight="1">
      <c r="A89" s="191" t="s">
        <v>840</v>
      </c>
      <c r="B89" s="211">
        <v>292</v>
      </c>
      <c r="C89" s="211">
        <v>369</v>
      </c>
      <c r="D89" s="211">
        <v>1</v>
      </c>
      <c r="E89" s="211">
        <v>66</v>
      </c>
      <c r="F89" s="211">
        <v>441</v>
      </c>
      <c r="G89" s="211">
        <v>287</v>
      </c>
      <c r="H89" s="216"/>
      <c r="I89" s="187">
        <f t="shared" si="39"/>
        <v>1.6507936507936507</v>
      </c>
      <c r="J89" s="188">
        <f t="shared" si="40"/>
        <v>39.42307692307692</v>
      </c>
      <c r="K89" s="272">
        <f t="shared" si="41"/>
        <v>60.576923076923073</v>
      </c>
      <c r="L89" s="153"/>
      <c r="M89" s="153"/>
    </row>
    <row r="90" spans="1:13" s="220" customFormat="1" ht="20.25" customHeight="1">
      <c r="A90" s="191" t="s">
        <v>841</v>
      </c>
      <c r="B90" s="211">
        <v>138</v>
      </c>
      <c r="C90" s="211">
        <v>129</v>
      </c>
      <c r="D90" s="211">
        <v>4</v>
      </c>
      <c r="E90" s="211">
        <v>12</v>
      </c>
      <c r="F90" s="211">
        <v>144</v>
      </c>
      <c r="G90" s="211">
        <v>139</v>
      </c>
      <c r="H90" s="216"/>
      <c r="I90" s="187">
        <f t="shared" si="39"/>
        <v>1.9652777777777777</v>
      </c>
      <c r="J90" s="188">
        <f t="shared" si="40"/>
        <v>49.116607773851591</v>
      </c>
      <c r="K90" s="272">
        <f t="shared" si="41"/>
        <v>50.883392226148402</v>
      </c>
      <c r="L90" s="153"/>
      <c r="M90" s="153"/>
    </row>
    <row r="91" spans="1:13" s="274" customFormat="1" ht="20.25" customHeight="1">
      <c r="A91" s="191" t="s">
        <v>913</v>
      </c>
      <c r="B91" s="211">
        <v>339</v>
      </c>
      <c r="C91" s="211">
        <v>282</v>
      </c>
      <c r="D91" s="211">
        <v>3</v>
      </c>
      <c r="E91" s="211">
        <v>9</v>
      </c>
      <c r="F91" s="211">
        <v>341</v>
      </c>
      <c r="G91" s="211">
        <v>292</v>
      </c>
      <c r="H91" s="216"/>
      <c r="I91" s="187">
        <f t="shared" si="39"/>
        <v>1.8563049853372433</v>
      </c>
      <c r="J91" s="188">
        <f t="shared" si="40"/>
        <v>46.129541864139021</v>
      </c>
      <c r="K91" s="272">
        <f t="shared" si="41"/>
        <v>53.870458135860979</v>
      </c>
      <c r="L91" s="273"/>
      <c r="M91" s="273"/>
    </row>
    <row r="92" spans="1:13" s="220" customFormat="1" ht="20.25" customHeight="1">
      <c r="A92" s="191" t="s">
        <v>844</v>
      </c>
      <c r="B92" s="211">
        <v>191</v>
      </c>
      <c r="C92" s="211">
        <v>155</v>
      </c>
      <c r="D92" s="211">
        <v>6</v>
      </c>
      <c r="E92" s="211">
        <v>0</v>
      </c>
      <c r="F92" s="211">
        <v>232</v>
      </c>
      <c r="G92" s="211">
        <v>120</v>
      </c>
      <c r="H92" s="216"/>
      <c r="I92" s="187">
        <f t="shared" si="39"/>
        <v>1.5172413793103448</v>
      </c>
      <c r="J92" s="188">
        <f t="shared" si="40"/>
        <v>34.090909090909086</v>
      </c>
      <c r="K92" s="272">
        <f t="shared" si="41"/>
        <v>65.909090909090907</v>
      </c>
      <c r="L92" s="153"/>
      <c r="M92" s="153"/>
    </row>
    <row r="93" spans="1:13" s="220" customFormat="1" ht="20.25" customHeight="1">
      <c r="A93" s="191" t="s">
        <v>430</v>
      </c>
      <c r="B93" s="211">
        <v>38</v>
      </c>
      <c r="C93" s="211">
        <v>70</v>
      </c>
      <c r="D93" s="211">
        <v>0</v>
      </c>
      <c r="E93" s="211">
        <v>30</v>
      </c>
      <c r="F93" s="211">
        <v>87</v>
      </c>
      <c r="G93" s="211">
        <v>51</v>
      </c>
      <c r="H93" s="216"/>
      <c r="I93" s="187">
        <f t="shared" si="39"/>
        <v>1.5862068965517242</v>
      </c>
      <c r="J93" s="188">
        <f t="shared" si="40"/>
        <v>36.95652173913043</v>
      </c>
      <c r="K93" s="272">
        <f>(F93/SUM(B93:E93))*100</f>
        <v>63.04347826086957</v>
      </c>
      <c r="L93" s="153"/>
      <c r="M93" s="153"/>
    </row>
    <row r="94" spans="1:13" s="220" customFormat="1" ht="20.25" customHeight="1">
      <c r="A94" s="213"/>
      <c r="B94" s="211"/>
      <c r="C94" s="211"/>
      <c r="D94" s="211"/>
      <c r="E94" s="211"/>
      <c r="F94" s="211"/>
      <c r="G94" s="211"/>
      <c r="H94" s="216"/>
      <c r="I94" s="187"/>
      <c r="J94" s="188"/>
      <c r="K94" s="272"/>
      <c r="L94" s="153"/>
      <c r="M94" s="153"/>
    </row>
    <row r="95" spans="1:13" s="220" customFormat="1" ht="20.25" customHeight="1">
      <c r="A95" s="215" t="s">
        <v>705</v>
      </c>
      <c r="B95" s="170">
        <f t="shared" ref="B95:G95" si="42">SUM(B96:B97)</f>
        <v>1821</v>
      </c>
      <c r="C95" s="170">
        <f t="shared" si="42"/>
        <v>1927</v>
      </c>
      <c r="D95" s="170">
        <f t="shared" si="42"/>
        <v>9</v>
      </c>
      <c r="E95" s="170">
        <f t="shared" si="42"/>
        <v>1022</v>
      </c>
      <c r="F95" s="170">
        <f t="shared" si="42"/>
        <v>2928</v>
      </c>
      <c r="G95" s="170">
        <f t="shared" si="42"/>
        <v>1851</v>
      </c>
      <c r="H95" s="402"/>
      <c r="I95" s="183">
        <f>SUM(B95:E95)/F95</f>
        <v>1.632172131147541</v>
      </c>
      <c r="J95" s="184">
        <f>(G95/SUM(B95:E95))*100</f>
        <v>38.731952291274325</v>
      </c>
      <c r="K95" s="271">
        <f>(F95/SUM(B95:E95))*100</f>
        <v>61.268047708725668</v>
      </c>
      <c r="L95" s="153"/>
      <c r="M95" s="153"/>
    </row>
    <row r="96" spans="1:13" s="220" customFormat="1" ht="20.25" customHeight="1">
      <c r="A96" s="191" t="s">
        <v>914</v>
      </c>
      <c r="B96" s="211">
        <v>1038</v>
      </c>
      <c r="C96" s="211">
        <v>1456</v>
      </c>
      <c r="D96" s="211">
        <v>1</v>
      </c>
      <c r="E96" s="211">
        <v>1019</v>
      </c>
      <c r="F96" s="211">
        <v>2216</v>
      </c>
      <c r="G96" s="211">
        <v>1298</v>
      </c>
      <c r="H96" s="216"/>
      <c r="I96" s="187">
        <f>SUM(B96:E96)/F96</f>
        <v>1.5857400722021662</v>
      </c>
      <c r="J96" s="188">
        <f>(G96/SUM(B96:E96))*100</f>
        <v>36.937962435970405</v>
      </c>
      <c r="K96" s="272">
        <f>(F96/SUM(B96:E96))*100</f>
        <v>63.062037564029595</v>
      </c>
      <c r="L96" s="153"/>
      <c r="M96" s="153"/>
    </row>
    <row r="97" spans="1:13" s="220" customFormat="1" ht="20.25" customHeight="1">
      <c r="A97" s="191" t="s">
        <v>847</v>
      </c>
      <c r="B97" s="211">
        <v>783</v>
      </c>
      <c r="C97" s="211">
        <v>471</v>
      </c>
      <c r="D97" s="211">
        <v>8</v>
      </c>
      <c r="E97" s="211">
        <v>3</v>
      </c>
      <c r="F97" s="211">
        <v>712</v>
      </c>
      <c r="G97" s="211">
        <v>553</v>
      </c>
      <c r="H97" s="216"/>
      <c r="I97" s="187">
        <f>SUM(B97:E97)/F97</f>
        <v>1.776685393258427</v>
      </c>
      <c r="J97" s="188">
        <f>(G97/SUM(B97:E97))*100</f>
        <v>43.715415019762844</v>
      </c>
      <c r="K97" s="272">
        <f>(F97/SUM(B97:E97))*100</f>
        <v>56.284584980237149</v>
      </c>
      <c r="L97" s="153"/>
      <c r="M97" s="153"/>
    </row>
    <row r="98" spans="1:13" s="220" customFormat="1" ht="20.25" customHeight="1">
      <c r="A98" s="213"/>
      <c r="B98" s="211"/>
      <c r="C98" s="211"/>
      <c r="D98" s="211"/>
      <c r="E98" s="211"/>
      <c r="F98" s="211"/>
      <c r="G98" s="211"/>
      <c r="H98" s="216"/>
      <c r="I98" s="187"/>
      <c r="J98" s="188"/>
      <c r="K98" s="272"/>
      <c r="L98" s="153"/>
      <c r="M98" s="153"/>
    </row>
    <row r="99" spans="1:13" s="220" customFormat="1" ht="20.25" customHeight="1">
      <c r="A99" s="215" t="s">
        <v>706</v>
      </c>
      <c r="B99" s="170">
        <f t="shared" ref="B99:G99" si="43">SUM(B100:B104)</f>
        <v>1891</v>
      </c>
      <c r="C99" s="170">
        <f t="shared" si="43"/>
        <v>2535</v>
      </c>
      <c r="D99" s="170">
        <f t="shared" si="43"/>
        <v>13</v>
      </c>
      <c r="E99" s="170">
        <f t="shared" si="43"/>
        <v>233</v>
      </c>
      <c r="F99" s="170">
        <f t="shared" si="43"/>
        <v>2864</v>
      </c>
      <c r="G99" s="170">
        <f t="shared" si="43"/>
        <v>1808</v>
      </c>
      <c r="H99" s="402"/>
      <c r="I99" s="183">
        <f>SUM(B99:E99)/F99</f>
        <v>1.6312849162011174</v>
      </c>
      <c r="J99" s="184">
        <f>(G99/SUM(B99:E99))*100</f>
        <v>38.698630136986303</v>
      </c>
      <c r="K99" s="271">
        <f>(F99/SUM(B99:E99))*100</f>
        <v>61.301369863013697</v>
      </c>
      <c r="L99" s="153"/>
      <c r="M99" s="153"/>
    </row>
    <row r="100" spans="1:13" s="220" customFormat="1" ht="20.25" customHeight="1">
      <c r="A100" s="191" t="s">
        <v>915</v>
      </c>
      <c r="B100" s="211">
        <v>598</v>
      </c>
      <c r="C100" s="211">
        <v>724</v>
      </c>
      <c r="D100" s="211">
        <v>4</v>
      </c>
      <c r="E100" s="211">
        <v>89</v>
      </c>
      <c r="F100" s="211">
        <v>822</v>
      </c>
      <c r="G100" s="211">
        <v>593</v>
      </c>
      <c r="H100" s="216"/>
      <c r="I100" s="187">
        <f>SUM(B100:E100)/F100</f>
        <v>1.721411192214112</v>
      </c>
      <c r="J100" s="188">
        <f>(G100/SUM(B100:E100))*100</f>
        <v>41.908127208480565</v>
      </c>
      <c r="K100" s="272">
        <f>(F100/SUM(B100:E100))*100</f>
        <v>58.091872791519435</v>
      </c>
      <c r="L100" s="153"/>
      <c r="M100" s="153"/>
    </row>
    <row r="101" spans="1:13" s="274" customFormat="1" ht="20.25" customHeight="1">
      <c r="A101" s="191" t="s">
        <v>916</v>
      </c>
      <c r="B101" s="211">
        <v>508</v>
      </c>
      <c r="C101" s="211">
        <v>704</v>
      </c>
      <c r="D101" s="211">
        <v>3</v>
      </c>
      <c r="E101" s="211">
        <v>0</v>
      </c>
      <c r="F101" s="211">
        <v>736</v>
      </c>
      <c r="G101" s="211">
        <v>479</v>
      </c>
      <c r="H101" s="216"/>
      <c r="I101" s="187">
        <f>SUM(B101:E101)/F101</f>
        <v>1.6508152173913044</v>
      </c>
      <c r="J101" s="188">
        <f>(G101/SUM(B101:E101))*100</f>
        <v>39.423868312757207</v>
      </c>
      <c r="K101" s="272">
        <f>(F101/SUM(B101:E101))*100</f>
        <v>60.576131687242793</v>
      </c>
      <c r="L101" s="273"/>
      <c r="M101" s="273"/>
    </row>
    <row r="102" spans="1:13" s="274" customFormat="1" ht="20.25" customHeight="1">
      <c r="A102" s="191" t="s">
        <v>852</v>
      </c>
      <c r="B102" s="211">
        <v>346</v>
      </c>
      <c r="C102" s="211">
        <v>447</v>
      </c>
      <c r="D102" s="211">
        <v>0</v>
      </c>
      <c r="E102" s="211">
        <v>110</v>
      </c>
      <c r="F102" s="211">
        <v>580</v>
      </c>
      <c r="G102" s="211">
        <v>323</v>
      </c>
      <c r="H102" s="216"/>
      <c r="I102" s="187">
        <f>SUM(B102:E102)/F102</f>
        <v>1.556896551724138</v>
      </c>
      <c r="J102" s="188">
        <f>(G102/SUM(B102:E102))*100</f>
        <v>35.769656699889261</v>
      </c>
      <c r="K102" s="272">
        <f>(F102/SUM(B102:E102))*100</f>
        <v>64.230343300110732</v>
      </c>
      <c r="L102" s="273"/>
      <c r="M102" s="273"/>
    </row>
    <row r="103" spans="1:13" s="274" customFormat="1" ht="20.25" customHeight="1">
      <c r="A103" s="191" t="s">
        <v>856</v>
      </c>
      <c r="B103" s="211">
        <v>325</v>
      </c>
      <c r="C103" s="211">
        <v>509</v>
      </c>
      <c r="D103" s="211">
        <v>0</v>
      </c>
      <c r="E103" s="211">
        <v>34</v>
      </c>
      <c r="F103" s="211">
        <v>571</v>
      </c>
      <c r="G103" s="211">
        <v>297</v>
      </c>
      <c r="H103" s="216"/>
      <c r="I103" s="187">
        <f>SUM(B103:E103)/F103</f>
        <v>1.520140105078809</v>
      </c>
      <c r="J103" s="188">
        <f>(G103/SUM(B103:E103))*100</f>
        <v>34.216589861751153</v>
      </c>
      <c r="K103" s="272">
        <f>(F103/SUM(B103:E103))*100</f>
        <v>65.78341013824884</v>
      </c>
      <c r="L103" s="273"/>
      <c r="M103" s="273"/>
    </row>
    <row r="104" spans="1:13" s="274" customFormat="1" ht="20.25" customHeight="1">
      <c r="A104" s="191" t="s">
        <v>917</v>
      </c>
      <c r="B104" s="211">
        <v>114</v>
      </c>
      <c r="C104" s="211">
        <v>151</v>
      </c>
      <c r="D104" s="211">
        <v>6</v>
      </c>
      <c r="E104" s="211">
        <v>0</v>
      </c>
      <c r="F104" s="211">
        <v>155</v>
      </c>
      <c r="G104" s="211">
        <v>116</v>
      </c>
      <c r="H104" s="216"/>
      <c r="I104" s="187"/>
      <c r="J104" s="188"/>
      <c r="K104" s="272"/>
      <c r="L104" s="273"/>
      <c r="M104" s="273"/>
    </row>
    <row r="105" spans="1:13" s="220" customFormat="1" ht="20.25" customHeight="1">
      <c r="A105" s="213"/>
      <c r="B105" s="211"/>
      <c r="C105" s="211"/>
      <c r="D105" s="211"/>
      <c r="E105" s="211"/>
      <c r="F105" s="211"/>
      <c r="G105" s="211"/>
      <c r="H105" s="216"/>
      <c r="I105" s="187"/>
      <c r="J105" s="188"/>
      <c r="K105" s="272"/>
      <c r="L105" s="153"/>
      <c r="M105" s="153"/>
    </row>
    <row r="106" spans="1:13" s="220" customFormat="1" ht="20.25" customHeight="1">
      <c r="A106" s="262" t="s">
        <v>707</v>
      </c>
      <c r="B106" s="170">
        <f t="shared" ref="B106:G106" si="44">SUM(B107:B109)</f>
        <v>1764</v>
      </c>
      <c r="C106" s="170">
        <f t="shared" si="44"/>
        <v>1863</v>
      </c>
      <c r="D106" s="170">
        <f t="shared" si="44"/>
        <v>4</v>
      </c>
      <c r="E106" s="170">
        <f t="shared" si="44"/>
        <v>197</v>
      </c>
      <c r="F106" s="170">
        <f t="shared" si="44"/>
        <v>1949</v>
      </c>
      <c r="G106" s="170">
        <f t="shared" si="44"/>
        <v>1879</v>
      </c>
      <c r="H106" s="402"/>
      <c r="I106" s="183">
        <f>SUM(B106:E106)/F106</f>
        <v>1.9640841457157516</v>
      </c>
      <c r="J106" s="184">
        <f>(G106/SUM(B106:E106))*100</f>
        <v>49.085684430512018</v>
      </c>
      <c r="K106" s="271">
        <f>(F106/SUM(B106:E106))*100</f>
        <v>50.914315569487975</v>
      </c>
      <c r="L106" s="153"/>
      <c r="M106" s="153"/>
    </row>
    <row r="107" spans="1:13" s="220" customFormat="1" ht="20.25" customHeight="1">
      <c r="A107" s="191" t="s">
        <v>708</v>
      </c>
      <c r="B107" s="211">
        <v>756</v>
      </c>
      <c r="C107" s="211">
        <v>805</v>
      </c>
      <c r="D107" s="211">
        <v>2</v>
      </c>
      <c r="E107" s="211">
        <v>186</v>
      </c>
      <c r="F107" s="211">
        <v>1069</v>
      </c>
      <c r="G107" s="211">
        <v>680</v>
      </c>
      <c r="H107" s="216"/>
      <c r="I107" s="187">
        <f>SUM(B107:E107)/F107</f>
        <v>1.6361085126286248</v>
      </c>
      <c r="J107" s="188">
        <f>(G107/SUM(B107:E107))*100</f>
        <v>38.879359634076614</v>
      </c>
      <c r="K107" s="272">
        <f>(F107/SUM(B107:E107))*100</f>
        <v>61.120640365923386</v>
      </c>
      <c r="L107" s="153"/>
      <c r="M107" s="153"/>
    </row>
    <row r="108" spans="1:13" s="220" customFormat="1" ht="20.25" customHeight="1">
      <c r="A108" s="191" t="s">
        <v>918</v>
      </c>
      <c r="B108" s="211">
        <v>400</v>
      </c>
      <c r="C108" s="211">
        <v>511</v>
      </c>
      <c r="D108" s="211">
        <v>1</v>
      </c>
      <c r="E108" s="211">
        <v>6</v>
      </c>
      <c r="F108" s="211">
        <v>332</v>
      </c>
      <c r="G108" s="211">
        <v>586</v>
      </c>
      <c r="H108" s="216"/>
      <c r="I108" s="187">
        <f>SUM(B108:E108)/F108</f>
        <v>2.7650602409638556</v>
      </c>
      <c r="J108" s="188">
        <f>(G108/SUM(B108:E108))*100</f>
        <v>63.834422657952075</v>
      </c>
      <c r="K108" s="272">
        <f>(F108/SUM(B108:E108))*100</f>
        <v>36.165577342047925</v>
      </c>
      <c r="L108" s="153"/>
      <c r="M108" s="153"/>
    </row>
    <row r="109" spans="1:13" s="220" customFormat="1" ht="20.25" customHeight="1">
      <c r="A109" s="191" t="s">
        <v>859</v>
      </c>
      <c r="B109" s="211">
        <v>608</v>
      </c>
      <c r="C109" s="211">
        <v>547</v>
      </c>
      <c r="D109" s="211">
        <v>1</v>
      </c>
      <c r="E109" s="211">
        <v>5</v>
      </c>
      <c r="F109" s="211">
        <v>548</v>
      </c>
      <c r="G109" s="211">
        <v>613</v>
      </c>
      <c r="H109" s="216"/>
      <c r="I109" s="187">
        <f>SUM(B109:E109)/F109</f>
        <v>2.1186131386861313</v>
      </c>
      <c r="J109" s="188">
        <f>(G109/SUM(B109:E109))*100</f>
        <v>52.799310938845821</v>
      </c>
      <c r="K109" s="272">
        <f>(F109/SUM(B109:E109))*100</f>
        <v>47.200689061154179</v>
      </c>
      <c r="L109" s="153"/>
      <c r="M109" s="153"/>
    </row>
    <row r="110" spans="1:13" s="220" customFormat="1" ht="20.25" customHeight="1">
      <c r="A110" s="213"/>
      <c r="B110" s="211"/>
      <c r="C110" s="211"/>
      <c r="D110" s="211"/>
      <c r="E110" s="211"/>
      <c r="F110" s="211"/>
      <c r="G110" s="211"/>
      <c r="H110" s="216"/>
      <c r="I110" s="187"/>
      <c r="J110" s="188"/>
      <c r="K110" s="272"/>
      <c r="L110" s="153"/>
      <c r="M110" s="153"/>
    </row>
    <row r="111" spans="1:13" s="220" customFormat="1" ht="20.25" customHeight="1">
      <c r="A111" s="262" t="s">
        <v>709</v>
      </c>
      <c r="B111" s="170">
        <f t="shared" ref="B111:G111" si="45">SUM(B112:B114)</f>
        <v>2180</v>
      </c>
      <c r="C111" s="170">
        <f t="shared" si="45"/>
        <v>1968</v>
      </c>
      <c r="D111" s="170">
        <f t="shared" si="45"/>
        <v>38</v>
      </c>
      <c r="E111" s="170">
        <f t="shared" si="45"/>
        <v>568</v>
      </c>
      <c r="F111" s="170">
        <f t="shared" si="45"/>
        <v>2821</v>
      </c>
      <c r="G111" s="170">
        <f t="shared" si="45"/>
        <v>1933</v>
      </c>
      <c r="H111" s="402"/>
      <c r="I111" s="183">
        <f>SUM(B111:E111)/F111</f>
        <v>1.6852180077986529</v>
      </c>
      <c r="J111" s="184">
        <f>(G111/SUM(B111:E111))*100</f>
        <v>40.660496424063943</v>
      </c>
      <c r="K111" s="271">
        <f>(F111/SUM(B111:E111))*100</f>
        <v>59.339503575936057</v>
      </c>
      <c r="L111" s="153"/>
      <c r="M111" s="153"/>
    </row>
    <row r="112" spans="1:13" s="220" customFormat="1" ht="20.25" customHeight="1">
      <c r="A112" s="191" t="s">
        <v>710</v>
      </c>
      <c r="B112" s="211">
        <v>1093</v>
      </c>
      <c r="C112" s="211">
        <v>1015</v>
      </c>
      <c r="D112" s="211">
        <v>24</v>
      </c>
      <c r="E112" s="211">
        <v>439</v>
      </c>
      <c r="F112" s="211">
        <v>1762</v>
      </c>
      <c r="G112" s="211">
        <v>809</v>
      </c>
      <c r="H112" s="216"/>
      <c r="I112" s="187">
        <f>SUM(B112:E112)/F112</f>
        <v>1.4591373439273552</v>
      </c>
      <c r="J112" s="188">
        <f>(G112/SUM(B112:E112))*100</f>
        <v>31.466355503695059</v>
      </c>
      <c r="K112" s="272">
        <f>(F112/SUM(B112:E112))*100</f>
        <v>68.53364449630493</v>
      </c>
      <c r="L112" s="153"/>
      <c r="M112" s="153"/>
    </row>
    <row r="113" spans="1:13" s="220" customFormat="1" ht="20.25" customHeight="1">
      <c r="A113" s="191" t="s">
        <v>151</v>
      </c>
      <c r="B113" s="211">
        <v>610</v>
      </c>
      <c r="C113" s="211">
        <v>595</v>
      </c>
      <c r="D113" s="211">
        <v>10</v>
      </c>
      <c r="E113" s="211">
        <v>110</v>
      </c>
      <c r="F113" s="211">
        <v>512</v>
      </c>
      <c r="G113" s="211">
        <v>813</v>
      </c>
      <c r="H113" s="216"/>
      <c r="I113" s="187">
        <f>SUM(B113:E113)/F113</f>
        <v>2.587890625</v>
      </c>
      <c r="J113" s="188">
        <f>(G113/SUM(B113:E113))*100</f>
        <v>61.358490566037737</v>
      </c>
      <c r="K113" s="272">
        <f>(F113/SUM(B113:E113))*100</f>
        <v>38.641509433962263</v>
      </c>
      <c r="L113" s="153"/>
      <c r="M113" s="153"/>
    </row>
    <row r="114" spans="1:13" s="153" customFormat="1" ht="20.25" customHeight="1">
      <c r="A114" s="191" t="s">
        <v>863</v>
      </c>
      <c r="B114" s="211">
        <v>477</v>
      </c>
      <c r="C114" s="211">
        <v>358</v>
      </c>
      <c r="D114" s="211">
        <v>4</v>
      </c>
      <c r="E114" s="211">
        <v>19</v>
      </c>
      <c r="F114" s="211">
        <v>547</v>
      </c>
      <c r="G114" s="211">
        <v>311</v>
      </c>
      <c r="H114" s="216"/>
      <c r="I114" s="187">
        <f>SUM(B114:E114)/F114</f>
        <v>1.5685557586837295</v>
      </c>
      <c r="J114" s="188">
        <f>(G114/SUM(B114:E114))*100</f>
        <v>36.247086247086244</v>
      </c>
      <c r="K114" s="272">
        <f>(F114/SUM(B114:E114))*100</f>
        <v>63.752913752913756</v>
      </c>
    </row>
    <row r="115" spans="1:13" s="220" customFormat="1" ht="20.25" customHeight="1">
      <c r="A115" s="202"/>
      <c r="B115" s="264"/>
      <c r="C115" s="264"/>
      <c r="D115" s="264"/>
      <c r="E115" s="264"/>
      <c r="F115" s="264"/>
      <c r="G115" s="264"/>
      <c r="H115" s="218"/>
      <c r="I115" s="218"/>
      <c r="J115" s="218"/>
      <c r="K115" s="218"/>
      <c r="L115" s="153"/>
      <c r="M115" s="153"/>
    </row>
    <row r="116" spans="1:13" s="220" customFormat="1" ht="20.25" customHeight="1">
      <c r="A116" s="39" t="s">
        <v>1072</v>
      </c>
      <c r="B116" s="265"/>
      <c r="C116" s="265"/>
      <c r="D116" s="265"/>
      <c r="E116" s="265"/>
      <c r="F116" s="265"/>
      <c r="G116" s="265"/>
      <c r="H116" s="152"/>
      <c r="I116" s="152"/>
      <c r="J116" s="152"/>
      <c r="K116" s="152"/>
      <c r="L116" s="153"/>
      <c r="M116" s="153"/>
    </row>
  </sheetData>
  <sheetProtection selectLockedCells="1" selectUnlockedCells="1"/>
  <mergeCells count="3">
    <mergeCell ref="A3:K3"/>
    <mergeCell ref="B5:G5"/>
    <mergeCell ref="I5:K5"/>
  </mergeCells>
  <phoneticPr fontId="0" type="noConversion"/>
  <printOptions horizontalCentered="1" verticalCentered="1"/>
  <pageMargins left="0" right="0" top="0" bottom="0" header="0.51180555555555551" footer="0.51180555555555551"/>
  <pageSetup scale="30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B0F0"/>
  </sheetPr>
  <dimension ref="A1:K144"/>
  <sheetViews>
    <sheetView workbookViewId="0">
      <selection activeCell="A3" sqref="A3:K3"/>
    </sheetView>
  </sheetViews>
  <sheetFormatPr baseColWidth="10" defaultColWidth="13" defaultRowHeight="21"/>
  <cols>
    <col min="1" max="1" width="71.88671875" style="219" customWidth="1"/>
    <col min="2" max="2" width="17.5546875" style="219" customWidth="1"/>
    <col min="3" max="3" width="18.109375" style="219" customWidth="1"/>
    <col min="4" max="4" width="18" style="219" customWidth="1"/>
    <col min="5" max="5" width="17.5546875" style="219" customWidth="1"/>
    <col min="6" max="6" width="17.44140625" style="219" customWidth="1"/>
    <col min="7" max="7" width="18.6640625" style="219" customWidth="1"/>
    <col min="8" max="8" width="5.6640625" style="152" customWidth="1"/>
    <col min="9" max="11" width="18.6640625" style="152" customWidth="1"/>
    <col min="12" max="16384" width="13" style="219"/>
  </cols>
  <sheetData>
    <row r="1" spans="1:11">
      <c r="A1" s="220" t="s">
        <v>711</v>
      </c>
      <c r="B1" s="156"/>
      <c r="C1" s="156"/>
      <c r="D1" s="156"/>
      <c r="E1" s="156"/>
      <c r="F1" s="156"/>
      <c r="G1" s="156"/>
    </row>
    <row r="2" spans="1:11">
      <c r="B2" s="275"/>
      <c r="C2" s="275"/>
      <c r="D2" s="275"/>
      <c r="E2" s="275"/>
      <c r="F2" s="275"/>
      <c r="G2" s="275"/>
    </row>
    <row r="3" spans="1:11" s="220" customFormat="1" ht="20.399999999999999">
      <c r="A3" s="457" t="s">
        <v>1064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</row>
    <row r="4" spans="1:11">
      <c r="A4" s="222"/>
      <c r="B4" s="276"/>
      <c r="C4" s="276"/>
      <c r="D4" s="276"/>
      <c r="E4" s="276"/>
      <c r="F4" s="276"/>
      <c r="G4" s="276"/>
      <c r="H4" s="160"/>
      <c r="I4" s="160"/>
      <c r="J4" s="160"/>
      <c r="K4" s="160"/>
    </row>
    <row r="5" spans="1:11" ht="20.25" customHeight="1">
      <c r="A5" s="277"/>
      <c r="B5" s="458" t="s">
        <v>535</v>
      </c>
      <c r="C5" s="458"/>
      <c r="D5" s="458"/>
      <c r="E5" s="458"/>
      <c r="F5" s="458"/>
      <c r="G5" s="458"/>
      <c r="H5" s="162"/>
      <c r="I5" s="459" t="s">
        <v>536</v>
      </c>
      <c r="J5" s="459"/>
      <c r="K5" s="459"/>
    </row>
    <row r="6" spans="1:11">
      <c r="A6" s="234"/>
      <c r="B6" s="268" t="s">
        <v>538</v>
      </c>
      <c r="C6" s="253" t="s">
        <v>539</v>
      </c>
      <c r="D6" s="165" t="s">
        <v>539</v>
      </c>
      <c r="E6" s="278" t="s">
        <v>389</v>
      </c>
      <c r="F6" s="253" t="s">
        <v>539</v>
      </c>
      <c r="G6" s="206" t="s">
        <v>712</v>
      </c>
      <c r="H6" s="166"/>
      <c r="I6" s="163" t="s">
        <v>541</v>
      </c>
      <c r="J6" s="165" t="s">
        <v>542</v>
      </c>
      <c r="K6" s="164" t="s">
        <v>542</v>
      </c>
    </row>
    <row r="7" spans="1:11">
      <c r="A7" s="279" t="s">
        <v>537</v>
      </c>
      <c r="B7" s="268">
        <v>42370</v>
      </c>
      <c r="C7" s="280" t="s">
        <v>543</v>
      </c>
      <c r="D7" s="281" t="s">
        <v>544</v>
      </c>
      <c r="E7" s="278" t="s">
        <v>390</v>
      </c>
      <c r="F7" s="278" t="s">
        <v>866</v>
      </c>
      <c r="G7" s="206">
        <v>42735</v>
      </c>
      <c r="H7" s="171"/>
      <c r="I7" s="172" t="s">
        <v>547</v>
      </c>
      <c r="J7" s="173" t="s">
        <v>548</v>
      </c>
      <c r="K7" s="232" t="s">
        <v>549</v>
      </c>
    </row>
    <row r="8" spans="1:11">
      <c r="A8" s="282"/>
      <c r="B8" s="283"/>
      <c r="C8" s="284"/>
      <c r="D8" s="284"/>
      <c r="E8" s="284"/>
      <c r="F8" s="284"/>
      <c r="G8" s="210"/>
      <c r="H8" s="162"/>
      <c r="I8" s="179"/>
      <c r="J8" s="162"/>
      <c r="K8" s="270"/>
    </row>
    <row r="9" spans="1:11">
      <c r="A9" s="190" t="s">
        <v>868</v>
      </c>
      <c r="B9" s="181">
        <f t="shared" ref="B9:G9" si="0">SUM(B11,B21,B26,B36,B44,B53,B63,B74,B83,B93,B103,B115,B121,B131,B137)</f>
        <v>45820</v>
      </c>
      <c r="C9" s="181">
        <f t="shared" si="0"/>
        <v>31450</v>
      </c>
      <c r="D9" s="181">
        <f t="shared" si="0"/>
        <v>4316</v>
      </c>
      <c r="E9" s="181">
        <f t="shared" si="0"/>
        <v>4446</v>
      </c>
      <c r="F9" s="181">
        <f t="shared" si="0"/>
        <v>41676</v>
      </c>
      <c r="G9" s="181">
        <f t="shared" si="0"/>
        <v>44356</v>
      </c>
      <c r="H9" s="241"/>
      <c r="I9" s="183">
        <f>SUM(B9:E9)/F9</f>
        <v>2.0643055955465974</v>
      </c>
      <c r="J9" s="184">
        <f>(G9/SUM(B9:E9))*100</f>
        <v>51.557559977682722</v>
      </c>
      <c r="K9" s="271">
        <f>(F9/SUM(B9:E9))*100</f>
        <v>48.442440022317278</v>
      </c>
    </row>
    <row r="10" spans="1:11">
      <c r="A10" s="212"/>
      <c r="B10" s="192"/>
      <c r="C10" s="192"/>
      <c r="D10" s="192"/>
      <c r="E10" s="192"/>
      <c r="F10" s="192"/>
      <c r="G10" s="214"/>
      <c r="H10" s="182"/>
      <c r="I10" s="187"/>
      <c r="J10" s="188"/>
      <c r="K10" s="272"/>
    </row>
    <row r="11" spans="1:11" s="220" customFormat="1">
      <c r="A11" s="190" t="s">
        <v>551</v>
      </c>
      <c r="B11" s="181">
        <f t="shared" ref="B11:G11" si="1">SUM(B12:B19)</f>
        <v>3791</v>
      </c>
      <c r="C11" s="181">
        <f t="shared" si="1"/>
        <v>3451</v>
      </c>
      <c r="D11" s="181">
        <f t="shared" si="1"/>
        <v>311</v>
      </c>
      <c r="E11" s="181">
        <f t="shared" si="1"/>
        <v>34</v>
      </c>
      <c r="F11" s="181">
        <f t="shared" si="1"/>
        <v>3737</v>
      </c>
      <c r="G11" s="181">
        <f t="shared" si="1"/>
        <v>3850</v>
      </c>
      <c r="H11" s="182"/>
      <c r="I11" s="183">
        <f t="shared" ref="I11:I19" si="2">SUM(B11:E11)/F11</f>
        <v>2.0302381589510303</v>
      </c>
      <c r="J11" s="184">
        <f t="shared" ref="J11:J19" si="3">(G11/SUM(B11:E11))*100</f>
        <v>50.744694872808751</v>
      </c>
      <c r="K11" s="271">
        <f t="shared" ref="K11:K19" si="4">(F11/SUM(B11:E11))*100</f>
        <v>49.255305127191242</v>
      </c>
    </row>
    <row r="12" spans="1:11">
      <c r="A12" s="195" t="s">
        <v>713</v>
      </c>
      <c r="B12" s="182">
        <v>3217</v>
      </c>
      <c r="C12" s="182">
        <v>2733</v>
      </c>
      <c r="D12" s="182">
        <v>207</v>
      </c>
      <c r="E12" s="182">
        <v>34</v>
      </c>
      <c r="F12" s="182">
        <v>2985</v>
      </c>
      <c r="G12" s="182">
        <v>3206</v>
      </c>
      <c r="H12" s="182"/>
      <c r="I12" s="187">
        <f t="shared" si="2"/>
        <v>2.074036850921273</v>
      </c>
      <c r="J12" s="188">
        <f t="shared" si="3"/>
        <v>51.784848974317555</v>
      </c>
      <c r="K12" s="272">
        <f t="shared" si="4"/>
        <v>48.215151025682438</v>
      </c>
    </row>
    <row r="13" spans="1:11">
      <c r="A13" s="191" t="s">
        <v>985</v>
      </c>
      <c r="B13" s="182">
        <v>116</v>
      </c>
      <c r="C13" s="182">
        <v>103</v>
      </c>
      <c r="D13" s="182">
        <v>53</v>
      </c>
      <c r="E13" s="182">
        <v>0</v>
      </c>
      <c r="F13" s="182">
        <v>132</v>
      </c>
      <c r="G13" s="182">
        <v>140</v>
      </c>
      <c r="H13" s="182"/>
      <c r="I13" s="187">
        <f t="shared" si="2"/>
        <v>2.0606060606060606</v>
      </c>
      <c r="J13" s="188">
        <f t="shared" si="3"/>
        <v>51.470588235294116</v>
      </c>
      <c r="K13" s="272">
        <f t="shared" si="4"/>
        <v>48.529411764705884</v>
      </c>
    </row>
    <row r="14" spans="1:11">
      <c r="A14" s="191" t="s">
        <v>265</v>
      </c>
      <c r="B14" s="182">
        <v>102</v>
      </c>
      <c r="C14" s="182">
        <v>145</v>
      </c>
      <c r="D14" s="182">
        <v>14</v>
      </c>
      <c r="E14" s="182">
        <v>0</v>
      </c>
      <c r="F14" s="182">
        <v>159</v>
      </c>
      <c r="G14" s="182">
        <v>102</v>
      </c>
      <c r="H14" s="182"/>
      <c r="I14" s="187">
        <f t="shared" si="2"/>
        <v>1.6415094339622642</v>
      </c>
      <c r="J14" s="188">
        <f t="shared" si="3"/>
        <v>39.080459770114942</v>
      </c>
      <c r="K14" s="272">
        <f t="shared" si="4"/>
        <v>60.919540229885058</v>
      </c>
    </row>
    <row r="15" spans="1:11">
      <c r="A15" s="191" t="s">
        <v>266</v>
      </c>
      <c r="B15" s="182">
        <v>111</v>
      </c>
      <c r="C15" s="182">
        <v>140</v>
      </c>
      <c r="D15" s="182">
        <v>12</v>
      </c>
      <c r="E15" s="182">
        <v>0</v>
      </c>
      <c r="F15" s="182">
        <v>117</v>
      </c>
      <c r="G15" s="182">
        <v>146</v>
      </c>
      <c r="H15" s="182"/>
      <c r="I15" s="187">
        <f t="shared" si="2"/>
        <v>2.2478632478632479</v>
      </c>
      <c r="J15" s="188">
        <f t="shared" si="3"/>
        <v>55.51330798479087</v>
      </c>
      <c r="K15" s="272">
        <f t="shared" si="4"/>
        <v>44.486692015209123</v>
      </c>
    </row>
    <row r="16" spans="1:11">
      <c r="A16" s="191" t="s">
        <v>262</v>
      </c>
      <c r="B16" s="182">
        <v>42</v>
      </c>
      <c r="C16" s="182">
        <v>74</v>
      </c>
      <c r="D16" s="182">
        <v>5</v>
      </c>
      <c r="E16" s="182">
        <v>0</v>
      </c>
      <c r="F16" s="182">
        <v>79</v>
      </c>
      <c r="G16" s="182">
        <v>42</v>
      </c>
      <c r="H16" s="182"/>
      <c r="I16" s="187">
        <f t="shared" si="2"/>
        <v>1.5316455696202531</v>
      </c>
      <c r="J16" s="188">
        <f t="shared" si="3"/>
        <v>34.710743801652896</v>
      </c>
      <c r="K16" s="272">
        <f t="shared" si="4"/>
        <v>65.289256198347118</v>
      </c>
    </row>
    <row r="17" spans="1:11">
      <c r="A17" s="191" t="s">
        <v>263</v>
      </c>
      <c r="B17" s="182">
        <v>95</v>
      </c>
      <c r="C17" s="182">
        <v>123</v>
      </c>
      <c r="D17" s="182">
        <v>7</v>
      </c>
      <c r="E17" s="182">
        <v>0</v>
      </c>
      <c r="F17" s="182">
        <v>114</v>
      </c>
      <c r="G17" s="182">
        <v>111</v>
      </c>
      <c r="H17" s="182"/>
      <c r="I17" s="187">
        <f t="shared" si="2"/>
        <v>1.9736842105263157</v>
      </c>
      <c r="J17" s="188">
        <f t="shared" si="3"/>
        <v>49.333333333333336</v>
      </c>
      <c r="K17" s="272">
        <f t="shared" si="4"/>
        <v>50.666666666666671</v>
      </c>
    </row>
    <row r="18" spans="1:11">
      <c r="A18" s="191" t="s">
        <v>264</v>
      </c>
      <c r="B18" s="182">
        <v>11</v>
      </c>
      <c r="C18" s="182">
        <v>10</v>
      </c>
      <c r="D18" s="182">
        <v>0</v>
      </c>
      <c r="E18" s="182">
        <v>0</v>
      </c>
      <c r="F18" s="182">
        <v>13</v>
      </c>
      <c r="G18" s="182">
        <v>8</v>
      </c>
      <c r="H18" s="182"/>
      <c r="I18" s="187">
        <f t="shared" si="2"/>
        <v>1.6153846153846154</v>
      </c>
      <c r="J18" s="188">
        <f t="shared" si="3"/>
        <v>38.095238095238095</v>
      </c>
      <c r="K18" s="272">
        <f t="shared" si="4"/>
        <v>61.904761904761905</v>
      </c>
    </row>
    <row r="19" spans="1:11">
      <c r="A19" s="191" t="s">
        <v>267</v>
      </c>
      <c r="B19" s="182">
        <v>97</v>
      </c>
      <c r="C19" s="182">
        <v>123</v>
      </c>
      <c r="D19" s="182">
        <v>13</v>
      </c>
      <c r="E19" s="182">
        <v>0</v>
      </c>
      <c r="F19" s="182">
        <v>138</v>
      </c>
      <c r="G19" s="182">
        <v>95</v>
      </c>
      <c r="H19" s="182"/>
      <c r="I19" s="187">
        <f t="shared" si="2"/>
        <v>1.6884057971014492</v>
      </c>
      <c r="J19" s="188">
        <f t="shared" si="3"/>
        <v>40.772532188841204</v>
      </c>
      <c r="K19" s="272">
        <f t="shared" si="4"/>
        <v>59.227467811158796</v>
      </c>
    </row>
    <row r="20" spans="1:11">
      <c r="A20" s="194"/>
      <c r="B20" s="182"/>
      <c r="C20" s="182"/>
      <c r="D20" s="182"/>
      <c r="E20" s="182"/>
      <c r="F20" s="182"/>
      <c r="G20" s="182"/>
      <c r="H20" s="182"/>
      <c r="I20" s="187"/>
      <c r="J20" s="188"/>
      <c r="K20" s="272"/>
    </row>
    <row r="21" spans="1:11" s="220" customFormat="1" ht="20.399999999999999">
      <c r="A21" s="190" t="s">
        <v>268</v>
      </c>
      <c r="B21" s="169">
        <f t="shared" ref="B21:G21" si="5">SUM(B22:B24)</f>
        <v>11974</v>
      </c>
      <c r="C21" s="169">
        <f t="shared" si="5"/>
        <v>7770</v>
      </c>
      <c r="D21" s="169">
        <f t="shared" si="5"/>
        <v>547</v>
      </c>
      <c r="E21" s="169">
        <f t="shared" si="5"/>
        <v>1704</v>
      </c>
      <c r="F21" s="169">
        <f t="shared" si="5"/>
        <v>8942</v>
      </c>
      <c r="G21" s="169">
        <f t="shared" si="5"/>
        <v>13053</v>
      </c>
      <c r="H21" s="169"/>
      <c r="I21" s="183">
        <f>SUM(B21:E21)/F21</f>
        <v>2.4597405502124805</v>
      </c>
      <c r="J21" s="184">
        <f>(G21/SUM(B21:E21))*100</f>
        <v>59.345305751307123</v>
      </c>
      <c r="K21" s="271">
        <f>(F21/SUM(B21:E21))*100</f>
        <v>40.654694248692884</v>
      </c>
    </row>
    <row r="22" spans="1:11" ht="24">
      <c r="A22" s="191" t="s">
        <v>986</v>
      </c>
      <c r="B22" s="182">
        <v>5054</v>
      </c>
      <c r="C22" s="182">
        <v>1610</v>
      </c>
      <c r="D22" s="182">
        <v>146</v>
      </c>
      <c r="E22" s="182">
        <v>144</v>
      </c>
      <c r="F22" s="182">
        <v>2107</v>
      </c>
      <c r="G22" s="182">
        <v>4847</v>
      </c>
      <c r="H22" s="182"/>
      <c r="I22" s="187">
        <f>SUM(B22:E22)/F22</f>
        <v>3.3004271476032274</v>
      </c>
      <c r="J22" s="188">
        <f>(G22/SUM(B22:E22))*100</f>
        <v>69.700891573195278</v>
      </c>
      <c r="K22" s="272">
        <f>(F22/SUM(B22:E22))*100</f>
        <v>30.299108426804715</v>
      </c>
    </row>
    <row r="23" spans="1:11" ht="24">
      <c r="A23" s="191" t="s">
        <v>987</v>
      </c>
      <c r="B23" s="182">
        <v>4332</v>
      </c>
      <c r="C23" s="182">
        <v>1676</v>
      </c>
      <c r="D23" s="182">
        <v>120</v>
      </c>
      <c r="E23" s="182">
        <v>582</v>
      </c>
      <c r="F23" s="182">
        <v>2735</v>
      </c>
      <c r="G23" s="182">
        <v>3975</v>
      </c>
      <c r="H23" s="182"/>
      <c r="I23" s="187">
        <f>SUM(B23:E23)/F23</f>
        <v>2.4533820840950642</v>
      </c>
      <c r="J23" s="188">
        <f>(G23/SUM(B23:E23))*100</f>
        <v>59.239940387481369</v>
      </c>
      <c r="K23" s="272">
        <f>(F23/SUM(B23:E23))*100</f>
        <v>40.760059612518631</v>
      </c>
    </row>
    <row r="24" spans="1:11">
      <c r="A24" s="194" t="s">
        <v>984</v>
      </c>
      <c r="B24" s="182">
        <v>2588</v>
      </c>
      <c r="C24" s="182">
        <v>4484</v>
      </c>
      <c r="D24" s="182">
        <v>281</v>
      </c>
      <c r="E24" s="182">
        <v>978</v>
      </c>
      <c r="F24" s="182">
        <v>4100</v>
      </c>
      <c r="G24" s="182">
        <v>4231</v>
      </c>
      <c r="H24" s="182"/>
      <c r="I24" s="187">
        <f>SUM(B24:E24)/F24</f>
        <v>2.0319512195121949</v>
      </c>
      <c r="J24" s="188">
        <f>(G24/SUM(B24:E24))*100</f>
        <v>50.78622014163966</v>
      </c>
      <c r="K24" s="272">
        <f>(F24/SUM(B24:E24))*100</f>
        <v>49.21377985836034</v>
      </c>
    </row>
    <row r="25" spans="1:11">
      <c r="A25" s="194"/>
      <c r="B25" s="182"/>
      <c r="C25" s="182"/>
      <c r="D25" s="182"/>
      <c r="E25" s="182"/>
      <c r="F25" s="182"/>
      <c r="G25" s="182"/>
      <c r="H25" s="182"/>
      <c r="I25" s="187"/>
      <c r="J25" s="188"/>
      <c r="K25" s="272"/>
    </row>
    <row r="26" spans="1:11" s="220" customFormat="1" ht="20.399999999999999">
      <c r="A26" s="190" t="s">
        <v>271</v>
      </c>
      <c r="B26" s="169">
        <f t="shared" ref="B26:G26" si="6">SUM(B27:B34)</f>
        <v>1299</v>
      </c>
      <c r="C26" s="169">
        <f t="shared" si="6"/>
        <v>881</v>
      </c>
      <c r="D26" s="169">
        <f t="shared" si="6"/>
        <v>252</v>
      </c>
      <c r="E26" s="169">
        <f t="shared" si="6"/>
        <v>22</v>
      </c>
      <c r="F26" s="169">
        <f t="shared" si="6"/>
        <v>992</v>
      </c>
      <c r="G26" s="169">
        <f t="shared" si="6"/>
        <v>1462</v>
      </c>
      <c r="H26" s="169"/>
      <c r="I26" s="183">
        <f t="shared" ref="I26:I34" si="7">SUM(B26:E26)/F26</f>
        <v>2.473790322580645</v>
      </c>
      <c r="J26" s="184">
        <f t="shared" ref="J26:J34" si="8">(G26/SUM(B26:E26))*100</f>
        <v>59.576202118989407</v>
      </c>
      <c r="K26" s="271">
        <f t="shared" ref="K26:K34" si="9">(F26/SUM(B26:E26))*100</f>
        <v>40.423797881010593</v>
      </c>
    </row>
    <row r="27" spans="1:11">
      <c r="A27" s="191" t="s">
        <v>273</v>
      </c>
      <c r="B27" s="182">
        <v>128</v>
      </c>
      <c r="C27" s="182">
        <v>71</v>
      </c>
      <c r="D27" s="182">
        <v>6</v>
      </c>
      <c r="E27" s="182">
        <v>15</v>
      </c>
      <c r="F27" s="182">
        <v>89</v>
      </c>
      <c r="G27" s="182">
        <v>131</v>
      </c>
      <c r="H27" s="182"/>
      <c r="I27" s="187">
        <f t="shared" si="7"/>
        <v>2.4719101123595504</v>
      </c>
      <c r="J27" s="188">
        <f t="shared" si="8"/>
        <v>59.545454545454547</v>
      </c>
      <c r="K27" s="272">
        <f t="shared" si="9"/>
        <v>40.454545454545453</v>
      </c>
    </row>
    <row r="28" spans="1:11">
      <c r="A28" s="191" t="s">
        <v>272</v>
      </c>
      <c r="B28" s="182">
        <v>429</v>
      </c>
      <c r="C28" s="182">
        <v>207</v>
      </c>
      <c r="D28" s="182">
        <v>100</v>
      </c>
      <c r="E28" s="182">
        <v>1</v>
      </c>
      <c r="F28" s="182">
        <v>238</v>
      </c>
      <c r="G28" s="182">
        <v>499</v>
      </c>
      <c r="H28" s="182"/>
      <c r="I28" s="187">
        <f t="shared" si="7"/>
        <v>3.096638655462185</v>
      </c>
      <c r="J28" s="188">
        <f t="shared" si="8"/>
        <v>67.706919945725915</v>
      </c>
      <c r="K28" s="272">
        <f t="shared" si="9"/>
        <v>32.293080054274078</v>
      </c>
    </row>
    <row r="29" spans="1:11">
      <c r="A29" s="191" t="s">
        <v>274</v>
      </c>
      <c r="B29" s="182">
        <v>459</v>
      </c>
      <c r="C29" s="182">
        <v>366</v>
      </c>
      <c r="D29" s="182">
        <v>118</v>
      </c>
      <c r="E29" s="182">
        <v>6</v>
      </c>
      <c r="F29" s="182">
        <v>421</v>
      </c>
      <c r="G29" s="182">
        <v>528</v>
      </c>
      <c r="H29" s="182"/>
      <c r="I29" s="187">
        <f t="shared" si="7"/>
        <v>2.2541567695961997</v>
      </c>
      <c r="J29" s="188">
        <f t="shared" si="8"/>
        <v>55.637513171759743</v>
      </c>
      <c r="K29" s="272">
        <f t="shared" si="9"/>
        <v>44.362486828240257</v>
      </c>
    </row>
    <row r="30" spans="1:11">
      <c r="A30" s="191" t="s">
        <v>275</v>
      </c>
      <c r="B30" s="182">
        <v>46</v>
      </c>
      <c r="C30" s="182">
        <v>94</v>
      </c>
      <c r="D30" s="182">
        <v>8</v>
      </c>
      <c r="E30" s="182">
        <v>0</v>
      </c>
      <c r="F30" s="182">
        <v>77</v>
      </c>
      <c r="G30" s="182">
        <v>71</v>
      </c>
      <c r="H30" s="182"/>
      <c r="I30" s="187">
        <f t="shared" si="7"/>
        <v>1.9220779220779221</v>
      </c>
      <c r="J30" s="188">
        <f t="shared" si="8"/>
        <v>47.972972972972968</v>
      </c>
      <c r="K30" s="272">
        <f t="shared" si="9"/>
        <v>52.027027027027032</v>
      </c>
    </row>
    <row r="31" spans="1:11">
      <c r="A31" s="191" t="s">
        <v>276</v>
      </c>
      <c r="B31" s="182">
        <v>22</v>
      </c>
      <c r="C31" s="182">
        <v>46</v>
      </c>
      <c r="D31" s="182">
        <v>7</v>
      </c>
      <c r="E31" s="182">
        <v>0</v>
      </c>
      <c r="F31" s="182">
        <v>39</v>
      </c>
      <c r="G31" s="182">
        <v>36</v>
      </c>
      <c r="H31" s="182"/>
      <c r="I31" s="187">
        <f t="shared" si="7"/>
        <v>1.9230769230769231</v>
      </c>
      <c r="J31" s="188">
        <f t="shared" si="8"/>
        <v>48</v>
      </c>
      <c r="K31" s="272">
        <f t="shared" si="9"/>
        <v>52</v>
      </c>
    </row>
    <row r="32" spans="1:11">
      <c r="A32" s="191" t="s">
        <v>277</v>
      </c>
      <c r="B32" s="182">
        <v>92</v>
      </c>
      <c r="C32" s="182">
        <v>49</v>
      </c>
      <c r="D32" s="182">
        <v>3</v>
      </c>
      <c r="E32" s="182">
        <v>0</v>
      </c>
      <c r="F32" s="182">
        <v>41</v>
      </c>
      <c r="G32" s="182">
        <v>103</v>
      </c>
      <c r="H32" s="182"/>
      <c r="I32" s="187">
        <f t="shared" si="7"/>
        <v>3.5121951219512195</v>
      </c>
      <c r="J32" s="188">
        <f t="shared" si="8"/>
        <v>71.527777777777786</v>
      </c>
      <c r="K32" s="272">
        <f t="shared" si="9"/>
        <v>28.472222222222221</v>
      </c>
    </row>
    <row r="33" spans="1:11">
      <c r="A33" s="191" t="s">
        <v>278</v>
      </c>
      <c r="B33" s="182">
        <v>98</v>
      </c>
      <c r="C33" s="182">
        <v>38</v>
      </c>
      <c r="D33" s="182">
        <v>9</v>
      </c>
      <c r="E33" s="182">
        <v>0</v>
      </c>
      <c r="F33" s="182">
        <v>62</v>
      </c>
      <c r="G33" s="182">
        <v>83</v>
      </c>
      <c r="H33" s="182"/>
      <c r="I33" s="187">
        <f t="shared" si="7"/>
        <v>2.338709677419355</v>
      </c>
      <c r="J33" s="188">
        <f t="shared" si="8"/>
        <v>57.241379310344833</v>
      </c>
      <c r="K33" s="272">
        <f t="shared" si="9"/>
        <v>42.758620689655174</v>
      </c>
    </row>
    <row r="34" spans="1:11">
      <c r="A34" s="191" t="s">
        <v>279</v>
      </c>
      <c r="B34" s="182">
        <v>25</v>
      </c>
      <c r="C34" s="182">
        <v>10</v>
      </c>
      <c r="D34" s="182">
        <v>1</v>
      </c>
      <c r="E34" s="182">
        <v>0</v>
      </c>
      <c r="F34" s="182">
        <v>25</v>
      </c>
      <c r="G34" s="182">
        <v>11</v>
      </c>
      <c r="H34" s="182"/>
      <c r="I34" s="187">
        <f t="shared" si="7"/>
        <v>1.44</v>
      </c>
      <c r="J34" s="188">
        <f t="shared" si="8"/>
        <v>30.555555555555557</v>
      </c>
      <c r="K34" s="272">
        <f t="shared" si="9"/>
        <v>69.444444444444443</v>
      </c>
    </row>
    <row r="35" spans="1:11">
      <c r="A35" s="195"/>
      <c r="B35" s="182"/>
      <c r="C35" s="182"/>
      <c r="D35" s="182"/>
      <c r="E35" s="182"/>
      <c r="F35" s="182"/>
      <c r="G35" s="182"/>
      <c r="H35" s="182"/>
      <c r="I35" s="187"/>
      <c r="J35" s="188"/>
      <c r="K35" s="272"/>
    </row>
    <row r="36" spans="1:11" s="220" customFormat="1" ht="20.399999999999999">
      <c r="A36" s="190" t="s">
        <v>280</v>
      </c>
      <c r="B36" s="169">
        <f t="shared" ref="B36:G36" si="10">SUM(B37:B42)</f>
        <v>2869</v>
      </c>
      <c r="C36" s="169">
        <f t="shared" si="10"/>
        <v>2481</v>
      </c>
      <c r="D36" s="169">
        <f t="shared" si="10"/>
        <v>129</v>
      </c>
      <c r="E36" s="169">
        <f t="shared" si="10"/>
        <v>363</v>
      </c>
      <c r="F36" s="169">
        <f t="shared" si="10"/>
        <v>3134</v>
      </c>
      <c r="G36" s="169">
        <f t="shared" si="10"/>
        <v>2708</v>
      </c>
      <c r="H36" s="169"/>
      <c r="I36" s="183">
        <f t="shared" ref="I36:I42" si="11">SUM(B36:E36)/F36</f>
        <v>1.8640714741544353</v>
      </c>
      <c r="J36" s="184">
        <f t="shared" ref="J36:J42" si="12">(G36/SUM(B36:E36))*100</f>
        <v>46.35398836015063</v>
      </c>
      <c r="K36" s="271">
        <f t="shared" ref="K36:K42" si="13">(F36/SUM(B36:E36))*100</f>
        <v>53.64601163984937</v>
      </c>
    </row>
    <row r="37" spans="1:11">
      <c r="A37" s="191" t="s">
        <v>714</v>
      </c>
      <c r="B37" s="182">
        <v>2133</v>
      </c>
      <c r="C37" s="182">
        <v>754</v>
      </c>
      <c r="D37" s="182">
        <v>59</v>
      </c>
      <c r="E37" s="182">
        <v>113</v>
      </c>
      <c r="F37" s="182">
        <v>1504</v>
      </c>
      <c r="G37" s="182">
        <v>1555</v>
      </c>
      <c r="H37" s="182"/>
      <c r="I37" s="187">
        <f t="shared" si="11"/>
        <v>2.0339095744680851</v>
      </c>
      <c r="J37" s="188">
        <f t="shared" si="12"/>
        <v>50.83360575351422</v>
      </c>
      <c r="K37" s="272">
        <f t="shared" si="13"/>
        <v>49.16639424648578</v>
      </c>
    </row>
    <row r="38" spans="1:11">
      <c r="A38" s="191" t="s">
        <v>715</v>
      </c>
      <c r="B38" s="182">
        <v>615</v>
      </c>
      <c r="C38" s="182">
        <v>1584</v>
      </c>
      <c r="D38" s="182">
        <v>47</v>
      </c>
      <c r="E38" s="182">
        <v>238</v>
      </c>
      <c r="F38" s="182">
        <v>1466</v>
      </c>
      <c r="G38" s="182">
        <v>1018</v>
      </c>
      <c r="H38" s="182"/>
      <c r="I38" s="187">
        <f t="shared" si="11"/>
        <v>1.6944065484311051</v>
      </c>
      <c r="J38" s="188">
        <f t="shared" si="12"/>
        <v>40.982286634460543</v>
      </c>
      <c r="K38" s="272">
        <f t="shared" si="13"/>
        <v>59.01771336553945</v>
      </c>
    </row>
    <row r="39" spans="1:11">
      <c r="A39" s="191" t="s">
        <v>283</v>
      </c>
      <c r="B39" s="182">
        <v>31</v>
      </c>
      <c r="C39" s="182">
        <v>22</v>
      </c>
      <c r="D39" s="182">
        <v>12</v>
      </c>
      <c r="E39" s="182">
        <v>0</v>
      </c>
      <c r="F39" s="182">
        <v>42</v>
      </c>
      <c r="G39" s="182">
        <v>23</v>
      </c>
      <c r="H39" s="182"/>
      <c r="I39" s="187">
        <f t="shared" si="11"/>
        <v>1.5476190476190477</v>
      </c>
      <c r="J39" s="188">
        <f t="shared" si="12"/>
        <v>35.384615384615387</v>
      </c>
      <c r="K39" s="272">
        <f t="shared" si="13"/>
        <v>64.615384615384613</v>
      </c>
    </row>
    <row r="40" spans="1:11">
      <c r="A40" s="191" t="s">
        <v>284</v>
      </c>
      <c r="B40" s="182">
        <v>41</v>
      </c>
      <c r="C40" s="182">
        <v>39</v>
      </c>
      <c r="D40" s="182">
        <v>5</v>
      </c>
      <c r="E40" s="182">
        <v>4</v>
      </c>
      <c r="F40" s="182">
        <v>52</v>
      </c>
      <c r="G40" s="182">
        <v>37</v>
      </c>
      <c r="H40" s="182"/>
      <c r="I40" s="187">
        <f t="shared" si="11"/>
        <v>1.7115384615384615</v>
      </c>
      <c r="J40" s="188">
        <f t="shared" si="12"/>
        <v>41.573033707865171</v>
      </c>
      <c r="K40" s="272">
        <f t="shared" si="13"/>
        <v>58.426966292134829</v>
      </c>
    </row>
    <row r="41" spans="1:11">
      <c r="A41" s="191" t="s">
        <v>285</v>
      </c>
      <c r="B41" s="182">
        <v>10</v>
      </c>
      <c r="C41" s="182">
        <v>18</v>
      </c>
      <c r="D41" s="182">
        <v>0</v>
      </c>
      <c r="E41" s="182">
        <v>2</v>
      </c>
      <c r="F41" s="182">
        <v>10</v>
      </c>
      <c r="G41" s="182">
        <v>20</v>
      </c>
      <c r="H41" s="182"/>
      <c r="I41" s="187">
        <f t="shared" si="11"/>
        <v>3</v>
      </c>
      <c r="J41" s="188">
        <f t="shared" si="12"/>
        <v>66.666666666666657</v>
      </c>
      <c r="K41" s="272">
        <f t="shared" si="13"/>
        <v>33.333333333333329</v>
      </c>
    </row>
    <row r="42" spans="1:11">
      <c r="A42" s="191" t="s">
        <v>286</v>
      </c>
      <c r="B42" s="182">
        <v>39</v>
      </c>
      <c r="C42" s="182">
        <v>64</v>
      </c>
      <c r="D42" s="182">
        <v>6</v>
      </c>
      <c r="E42" s="182">
        <v>6</v>
      </c>
      <c r="F42" s="182">
        <v>60</v>
      </c>
      <c r="G42" s="182">
        <v>55</v>
      </c>
      <c r="H42" s="182"/>
      <c r="I42" s="187">
        <f t="shared" si="11"/>
        <v>1.9166666666666667</v>
      </c>
      <c r="J42" s="188">
        <f t="shared" si="12"/>
        <v>47.826086956521742</v>
      </c>
      <c r="K42" s="272">
        <f t="shared" si="13"/>
        <v>52.173913043478258</v>
      </c>
    </row>
    <row r="43" spans="1:11">
      <c r="A43" s="194"/>
      <c r="B43" s="182"/>
      <c r="C43" s="182"/>
      <c r="D43" s="182"/>
      <c r="E43" s="182"/>
      <c r="F43" s="182"/>
      <c r="G43" s="182"/>
      <c r="H43" s="182"/>
      <c r="I43" s="187"/>
      <c r="J43" s="188"/>
      <c r="K43" s="272"/>
    </row>
    <row r="44" spans="1:11" s="220" customFormat="1" ht="20.399999999999999">
      <c r="A44" s="190" t="s">
        <v>287</v>
      </c>
      <c r="B44" s="169">
        <f t="shared" ref="B44:G44" si="14">SUM(B45:B51)</f>
        <v>2073</v>
      </c>
      <c r="C44" s="169">
        <f t="shared" si="14"/>
        <v>1017</v>
      </c>
      <c r="D44" s="169">
        <f t="shared" si="14"/>
        <v>255</v>
      </c>
      <c r="E44" s="169">
        <f t="shared" si="14"/>
        <v>303</v>
      </c>
      <c r="F44" s="169">
        <f t="shared" si="14"/>
        <v>1853</v>
      </c>
      <c r="G44" s="169">
        <f t="shared" si="14"/>
        <v>1795</v>
      </c>
      <c r="H44" s="169"/>
      <c r="I44" s="183">
        <f t="shared" ref="I44:I51" si="15">SUM(B44:E44)/F44</f>
        <v>1.9686994063680519</v>
      </c>
      <c r="J44" s="184">
        <f t="shared" ref="J44:J51" si="16">(G44/SUM(B44:E44))*100</f>
        <v>49.205043859649123</v>
      </c>
      <c r="K44" s="271">
        <f t="shared" ref="K44:K51" si="17">(F44/SUM(B44:E44))*100</f>
        <v>50.794956140350877</v>
      </c>
    </row>
    <row r="45" spans="1:11">
      <c r="A45" s="191" t="s">
        <v>288</v>
      </c>
      <c r="B45" s="182">
        <v>1065</v>
      </c>
      <c r="C45" s="182">
        <v>365</v>
      </c>
      <c r="D45" s="182">
        <v>64</v>
      </c>
      <c r="E45" s="182">
        <v>117</v>
      </c>
      <c r="F45" s="182">
        <v>923</v>
      </c>
      <c r="G45" s="182">
        <v>688</v>
      </c>
      <c r="H45" s="182"/>
      <c r="I45" s="187">
        <f t="shared" si="15"/>
        <v>1.7453954496208017</v>
      </c>
      <c r="J45" s="188">
        <f t="shared" si="16"/>
        <v>42.706393544382372</v>
      </c>
      <c r="K45" s="272">
        <f t="shared" si="17"/>
        <v>57.293606455617628</v>
      </c>
    </row>
    <row r="46" spans="1:11">
      <c r="A46" s="191" t="s">
        <v>988</v>
      </c>
      <c r="B46" s="182">
        <v>409</v>
      </c>
      <c r="C46" s="182">
        <v>311</v>
      </c>
      <c r="D46" s="182">
        <v>17</v>
      </c>
      <c r="E46" s="182">
        <v>90</v>
      </c>
      <c r="F46" s="182">
        <v>373</v>
      </c>
      <c r="G46" s="182">
        <v>454</v>
      </c>
      <c r="H46" s="182"/>
      <c r="I46" s="187">
        <f t="shared" si="15"/>
        <v>2.2171581769436997</v>
      </c>
      <c r="J46" s="188">
        <f t="shared" si="16"/>
        <v>54.897218863361552</v>
      </c>
      <c r="K46" s="272">
        <f t="shared" si="17"/>
        <v>45.102781136638455</v>
      </c>
    </row>
    <row r="47" spans="1:11">
      <c r="A47" s="191" t="s">
        <v>989</v>
      </c>
      <c r="B47" s="182">
        <v>141</v>
      </c>
      <c r="C47" s="182">
        <v>100</v>
      </c>
      <c r="D47" s="182">
        <v>98</v>
      </c>
      <c r="E47" s="182">
        <v>2</v>
      </c>
      <c r="F47" s="182">
        <v>184</v>
      </c>
      <c r="G47" s="182">
        <v>157</v>
      </c>
      <c r="H47" s="166"/>
      <c r="I47" s="187">
        <f t="shared" si="15"/>
        <v>1.8532608695652173</v>
      </c>
      <c r="J47" s="188">
        <f t="shared" si="16"/>
        <v>46.041055718475072</v>
      </c>
      <c r="K47" s="272">
        <f t="shared" si="17"/>
        <v>53.958944281524921</v>
      </c>
    </row>
    <row r="48" spans="1:11">
      <c r="A48" s="191" t="s">
        <v>990</v>
      </c>
      <c r="B48" s="182">
        <v>76</v>
      </c>
      <c r="C48" s="182">
        <v>22</v>
      </c>
      <c r="D48" s="182">
        <v>5</v>
      </c>
      <c r="E48" s="182">
        <v>0</v>
      </c>
      <c r="F48" s="182">
        <v>65</v>
      </c>
      <c r="G48" s="182">
        <v>38</v>
      </c>
      <c r="H48" s="166"/>
      <c r="I48" s="187">
        <f t="shared" si="15"/>
        <v>1.5846153846153845</v>
      </c>
      <c r="J48" s="188">
        <f t="shared" si="16"/>
        <v>36.893203883495147</v>
      </c>
      <c r="K48" s="272">
        <f t="shared" si="17"/>
        <v>63.10679611650486</v>
      </c>
    </row>
    <row r="49" spans="1:11">
      <c r="A49" s="191" t="s">
        <v>991</v>
      </c>
      <c r="B49" s="182">
        <v>45</v>
      </c>
      <c r="C49" s="182">
        <v>38</v>
      </c>
      <c r="D49" s="182">
        <v>1</v>
      </c>
      <c r="E49" s="182">
        <v>0</v>
      </c>
      <c r="F49" s="182">
        <v>54</v>
      </c>
      <c r="G49" s="182">
        <v>30</v>
      </c>
      <c r="H49" s="166"/>
      <c r="I49" s="187">
        <f t="shared" si="15"/>
        <v>1.5555555555555556</v>
      </c>
      <c r="J49" s="188">
        <f t="shared" si="16"/>
        <v>35.714285714285715</v>
      </c>
      <c r="K49" s="272">
        <f t="shared" si="17"/>
        <v>64.285714285714292</v>
      </c>
    </row>
    <row r="50" spans="1:11">
      <c r="A50" s="191" t="s">
        <v>919</v>
      </c>
      <c r="B50" s="182">
        <v>216</v>
      </c>
      <c r="C50" s="182">
        <v>108</v>
      </c>
      <c r="D50" s="182">
        <v>59</v>
      </c>
      <c r="E50" s="182">
        <v>94</v>
      </c>
      <c r="F50" s="182">
        <v>205</v>
      </c>
      <c r="G50" s="182">
        <v>272</v>
      </c>
      <c r="H50" s="166"/>
      <c r="I50" s="187">
        <f t="shared" si="15"/>
        <v>2.3268292682926828</v>
      </c>
      <c r="J50" s="188">
        <f t="shared" si="16"/>
        <v>57.023060796645694</v>
      </c>
      <c r="K50" s="272">
        <f t="shared" si="17"/>
        <v>42.976939203354299</v>
      </c>
    </row>
    <row r="51" spans="1:11">
      <c r="A51" s="191" t="s">
        <v>933</v>
      </c>
      <c r="B51" s="182">
        <v>121</v>
      </c>
      <c r="C51" s="182">
        <v>73</v>
      </c>
      <c r="D51" s="182">
        <v>11</v>
      </c>
      <c r="E51" s="182">
        <v>0</v>
      </c>
      <c r="F51" s="182">
        <v>49</v>
      </c>
      <c r="G51" s="182">
        <v>156</v>
      </c>
      <c r="H51" s="166"/>
      <c r="I51" s="187">
        <f t="shared" si="15"/>
        <v>4.1836734693877551</v>
      </c>
      <c r="J51" s="188">
        <f t="shared" si="16"/>
        <v>76.097560975609753</v>
      </c>
      <c r="K51" s="272">
        <f t="shared" si="17"/>
        <v>23.902439024390244</v>
      </c>
    </row>
    <row r="52" spans="1:11">
      <c r="A52" s="194"/>
      <c r="B52" s="182"/>
      <c r="C52" s="182"/>
      <c r="D52" s="182"/>
      <c r="E52" s="182"/>
      <c r="F52" s="182"/>
      <c r="G52" s="182"/>
      <c r="H52" s="166"/>
      <c r="I52" s="187"/>
      <c r="J52" s="188"/>
      <c r="K52" s="272"/>
    </row>
    <row r="53" spans="1:11" s="220" customFormat="1" ht="20.399999999999999">
      <c r="A53" s="190" t="s">
        <v>294</v>
      </c>
      <c r="B53" s="169">
        <f t="shared" ref="B53:G53" si="18">SUM(B54:B61)</f>
        <v>1821</v>
      </c>
      <c r="C53" s="169">
        <f t="shared" si="18"/>
        <v>1381</v>
      </c>
      <c r="D53" s="169">
        <f t="shared" si="18"/>
        <v>263</v>
      </c>
      <c r="E53" s="169">
        <f t="shared" si="18"/>
        <v>288</v>
      </c>
      <c r="F53" s="169">
        <f t="shared" si="18"/>
        <v>2066</v>
      </c>
      <c r="G53" s="169">
        <f t="shared" si="18"/>
        <v>1687</v>
      </c>
      <c r="H53" s="401"/>
      <c r="I53" s="183">
        <f t="shared" ref="I53:I61" si="19">SUM(B53:E53)/F53</f>
        <v>1.8165537270087124</v>
      </c>
      <c r="J53" s="184">
        <f t="shared" ref="J53:J61" si="20">(G53/SUM(B53:E53))*100</f>
        <v>44.950706101785237</v>
      </c>
      <c r="K53" s="271">
        <f t="shared" ref="K53:K61" si="21">(F53/SUM(B53:E53))*100</f>
        <v>55.049293898214756</v>
      </c>
    </row>
    <row r="54" spans="1:11">
      <c r="A54" s="194" t="s">
        <v>716</v>
      </c>
      <c r="B54" s="182">
        <v>536</v>
      </c>
      <c r="C54" s="182">
        <v>260</v>
      </c>
      <c r="D54" s="182">
        <v>142</v>
      </c>
      <c r="E54" s="182">
        <v>99</v>
      </c>
      <c r="F54" s="182">
        <v>619</v>
      </c>
      <c r="G54" s="182">
        <v>418</v>
      </c>
      <c r="H54" s="166"/>
      <c r="I54" s="187">
        <f t="shared" si="19"/>
        <v>1.6752827140549273</v>
      </c>
      <c r="J54" s="188">
        <f t="shared" si="20"/>
        <v>40.308582449373191</v>
      </c>
      <c r="K54" s="272">
        <f t="shared" si="21"/>
        <v>59.691417550626809</v>
      </c>
    </row>
    <row r="55" spans="1:11">
      <c r="A55" s="194" t="s">
        <v>992</v>
      </c>
      <c r="B55" s="182">
        <v>513</v>
      </c>
      <c r="C55" s="182">
        <v>252</v>
      </c>
      <c r="D55" s="182">
        <v>32</v>
      </c>
      <c r="E55" s="182">
        <v>48</v>
      </c>
      <c r="F55" s="182">
        <v>413</v>
      </c>
      <c r="G55" s="182">
        <v>432</v>
      </c>
      <c r="H55" s="166"/>
      <c r="I55" s="187">
        <f t="shared" si="19"/>
        <v>2.0460048426150119</v>
      </c>
      <c r="J55" s="188">
        <f t="shared" si="20"/>
        <v>51.124260355029584</v>
      </c>
      <c r="K55" s="272">
        <f t="shared" si="21"/>
        <v>48.875739644970409</v>
      </c>
    </row>
    <row r="56" spans="1:11">
      <c r="A56" s="194" t="s">
        <v>993</v>
      </c>
      <c r="B56" s="182">
        <v>144</v>
      </c>
      <c r="C56" s="182">
        <v>220</v>
      </c>
      <c r="D56" s="182">
        <v>10</v>
      </c>
      <c r="E56" s="182">
        <v>51</v>
      </c>
      <c r="F56" s="182">
        <v>297</v>
      </c>
      <c r="G56" s="182">
        <v>128</v>
      </c>
      <c r="H56" s="166"/>
      <c r="I56" s="187">
        <f t="shared" si="19"/>
        <v>1.430976430976431</v>
      </c>
      <c r="J56" s="188">
        <f t="shared" si="20"/>
        <v>30.117647058823525</v>
      </c>
      <c r="K56" s="272">
        <f t="shared" si="21"/>
        <v>69.882352941176478</v>
      </c>
    </row>
    <row r="57" spans="1:11">
      <c r="A57" s="194" t="s">
        <v>994</v>
      </c>
      <c r="B57" s="182">
        <v>322</v>
      </c>
      <c r="C57" s="182">
        <v>410</v>
      </c>
      <c r="D57" s="182">
        <v>29</v>
      </c>
      <c r="E57" s="182">
        <v>88</v>
      </c>
      <c r="F57" s="182">
        <v>474</v>
      </c>
      <c r="G57" s="182">
        <v>375</v>
      </c>
      <c r="H57" s="166"/>
      <c r="I57" s="187">
        <f t="shared" si="19"/>
        <v>1.7911392405063291</v>
      </c>
      <c r="J57" s="188">
        <f t="shared" si="20"/>
        <v>44.169611307420489</v>
      </c>
      <c r="K57" s="272">
        <f t="shared" si="21"/>
        <v>55.830388692579504</v>
      </c>
    </row>
    <row r="58" spans="1:11">
      <c r="A58" s="191" t="s">
        <v>899</v>
      </c>
      <c r="B58" s="182">
        <v>24</v>
      </c>
      <c r="C58" s="182">
        <v>29</v>
      </c>
      <c r="D58" s="182">
        <v>3</v>
      </c>
      <c r="E58" s="182">
        <v>0</v>
      </c>
      <c r="F58" s="182">
        <v>30</v>
      </c>
      <c r="G58" s="182">
        <v>26</v>
      </c>
      <c r="H58" s="166"/>
      <c r="I58" s="187">
        <f t="shared" si="19"/>
        <v>1.8666666666666667</v>
      </c>
      <c r="J58" s="188">
        <f t="shared" si="20"/>
        <v>46.428571428571431</v>
      </c>
      <c r="K58" s="272">
        <f t="shared" si="21"/>
        <v>53.571428571428569</v>
      </c>
    </row>
    <row r="59" spans="1:11">
      <c r="A59" s="191" t="s">
        <v>960</v>
      </c>
      <c r="B59" s="182">
        <v>48</v>
      </c>
      <c r="C59" s="182">
        <v>28</v>
      </c>
      <c r="D59" s="182">
        <v>2</v>
      </c>
      <c r="E59" s="182">
        <v>0</v>
      </c>
      <c r="F59" s="182">
        <v>52</v>
      </c>
      <c r="G59" s="182">
        <v>26</v>
      </c>
      <c r="H59" s="166"/>
      <c r="I59" s="187">
        <f t="shared" si="19"/>
        <v>1.5</v>
      </c>
      <c r="J59" s="188">
        <f t="shared" si="20"/>
        <v>33.333333333333329</v>
      </c>
      <c r="K59" s="272">
        <f t="shared" si="21"/>
        <v>66.666666666666657</v>
      </c>
    </row>
    <row r="60" spans="1:11">
      <c r="A60" s="191" t="s">
        <v>301</v>
      </c>
      <c r="B60" s="182">
        <v>170</v>
      </c>
      <c r="C60" s="182">
        <v>95</v>
      </c>
      <c r="D60" s="182">
        <v>29</v>
      </c>
      <c r="E60" s="182">
        <v>2</v>
      </c>
      <c r="F60" s="182">
        <v>81</v>
      </c>
      <c r="G60" s="182">
        <v>215</v>
      </c>
      <c r="H60" s="166"/>
      <c r="I60" s="187">
        <f t="shared" si="19"/>
        <v>3.6543209876543208</v>
      </c>
      <c r="J60" s="188">
        <f t="shared" si="20"/>
        <v>72.63513513513513</v>
      </c>
      <c r="K60" s="272">
        <f t="shared" si="21"/>
        <v>27.364864864864863</v>
      </c>
    </row>
    <row r="61" spans="1:11">
      <c r="A61" s="191" t="s">
        <v>302</v>
      </c>
      <c r="B61" s="182">
        <v>64</v>
      </c>
      <c r="C61" s="182">
        <v>87</v>
      </c>
      <c r="D61" s="182">
        <v>16</v>
      </c>
      <c r="E61" s="182">
        <v>0</v>
      </c>
      <c r="F61" s="182">
        <v>100</v>
      </c>
      <c r="G61" s="182">
        <v>67</v>
      </c>
      <c r="H61" s="166"/>
      <c r="I61" s="187">
        <f t="shared" si="19"/>
        <v>1.67</v>
      </c>
      <c r="J61" s="188">
        <f t="shared" si="20"/>
        <v>40.119760479041915</v>
      </c>
      <c r="K61" s="272">
        <f t="shared" si="21"/>
        <v>59.880239520958078</v>
      </c>
    </row>
    <row r="62" spans="1:11">
      <c r="A62" s="195"/>
      <c r="B62" s="182"/>
      <c r="C62" s="182"/>
      <c r="D62" s="182"/>
      <c r="E62" s="182"/>
      <c r="F62" s="182"/>
      <c r="G62" s="182"/>
      <c r="H62" s="166"/>
      <c r="I62" s="187"/>
      <c r="J62" s="188"/>
      <c r="K62" s="272"/>
    </row>
    <row r="63" spans="1:11" s="220" customFormat="1" ht="20.399999999999999">
      <c r="A63" s="190" t="s">
        <v>303</v>
      </c>
      <c r="B63" s="169">
        <f t="shared" ref="B63:G63" si="22">SUM(B64:B72)</f>
        <v>3317</v>
      </c>
      <c r="C63" s="169">
        <f t="shared" si="22"/>
        <v>3296</v>
      </c>
      <c r="D63" s="169">
        <f t="shared" si="22"/>
        <v>157</v>
      </c>
      <c r="E63" s="169">
        <f t="shared" si="22"/>
        <v>331</v>
      </c>
      <c r="F63" s="169">
        <f t="shared" si="22"/>
        <v>3442</v>
      </c>
      <c r="G63" s="169">
        <f t="shared" si="22"/>
        <v>3659</v>
      </c>
      <c r="H63" s="401"/>
      <c r="I63" s="183">
        <f t="shared" ref="I63:I72" si="23">SUM(B63:E63)/F63</f>
        <v>2.0630447414294015</v>
      </c>
      <c r="J63" s="184">
        <f t="shared" ref="J63:J72" si="24">(G63/SUM(B63:E63))*100</f>
        <v>51.527953809322632</v>
      </c>
      <c r="K63" s="271">
        <f t="shared" ref="K63:K72" si="25">(F63/SUM(B63:E63))*100</f>
        <v>48.472046190677368</v>
      </c>
    </row>
    <row r="64" spans="1:11">
      <c r="A64" s="194" t="s">
        <v>717</v>
      </c>
      <c r="B64" s="182">
        <v>1205</v>
      </c>
      <c r="C64" s="182">
        <v>1001</v>
      </c>
      <c r="D64" s="182">
        <v>35</v>
      </c>
      <c r="E64" s="182">
        <v>53</v>
      </c>
      <c r="F64" s="182">
        <v>1137</v>
      </c>
      <c r="G64" s="182">
        <v>1157</v>
      </c>
      <c r="H64" s="166"/>
      <c r="I64" s="187">
        <f t="shared" si="23"/>
        <v>2.0175901495162707</v>
      </c>
      <c r="J64" s="188">
        <f t="shared" si="24"/>
        <v>50.435919790758497</v>
      </c>
      <c r="K64" s="272">
        <f t="shared" si="25"/>
        <v>49.564080209241503</v>
      </c>
    </row>
    <row r="65" spans="1:11">
      <c r="A65" s="191" t="s">
        <v>305</v>
      </c>
      <c r="B65" s="182">
        <v>516</v>
      </c>
      <c r="C65" s="182">
        <v>524</v>
      </c>
      <c r="D65" s="182">
        <v>12</v>
      </c>
      <c r="E65" s="182">
        <v>11</v>
      </c>
      <c r="F65" s="182">
        <v>553</v>
      </c>
      <c r="G65" s="182">
        <v>510</v>
      </c>
      <c r="H65" s="166"/>
      <c r="I65" s="187">
        <f t="shared" si="23"/>
        <v>1.9222423146473779</v>
      </c>
      <c r="J65" s="188">
        <f t="shared" si="24"/>
        <v>47.977422389463783</v>
      </c>
      <c r="K65" s="272">
        <f t="shared" si="25"/>
        <v>52.022577610536217</v>
      </c>
    </row>
    <row r="66" spans="1:11">
      <c r="A66" s="194" t="s">
        <v>718</v>
      </c>
      <c r="B66" s="182">
        <v>865</v>
      </c>
      <c r="C66" s="182">
        <v>1187</v>
      </c>
      <c r="D66" s="182">
        <v>26</v>
      </c>
      <c r="E66" s="182">
        <v>195</v>
      </c>
      <c r="F66" s="182">
        <v>936</v>
      </c>
      <c r="G66" s="182">
        <v>1337</v>
      </c>
      <c r="H66" s="166"/>
      <c r="I66" s="187">
        <f t="shared" si="23"/>
        <v>2.4284188034188032</v>
      </c>
      <c r="J66" s="188">
        <f t="shared" si="24"/>
        <v>58.820941487021564</v>
      </c>
      <c r="K66" s="272">
        <f t="shared" si="25"/>
        <v>41.179058512978443</v>
      </c>
    </row>
    <row r="67" spans="1:11">
      <c r="A67" s="191" t="s">
        <v>307</v>
      </c>
      <c r="B67" s="182">
        <v>127</v>
      </c>
      <c r="C67" s="182">
        <v>216</v>
      </c>
      <c r="D67" s="182">
        <v>42</v>
      </c>
      <c r="E67" s="182">
        <v>18</v>
      </c>
      <c r="F67" s="182">
        <v>234</v>
      </c>
      <c r="G67" s="182">
        <v>169</v>
      </c>
      <c r="H67" s="166"/>
      <c r="I67" s="187">
        <f t="shared" si="23"/>
        <v>1.7222222222222223</v>
      </c>
      <c r="J67" s="188">
        <f t="shared" si="24"/>
        <v>41.935483870967744</v>
      </c>
      <c r="K67" s="272">
        <f t="shared" si="25"/>
        <v>58.064516129032263</v>
      </c>
    </row>
    <row r="68" spans="1:11">
      <c r="A68" s="191" t="s">
        <v>308</v>
      </c>
      <c r="B68" s="182">
        <v>272</v>
      </c>
      <c r="C68" s="182">
        <v>112</v>
      </c>
      <c r="D68" s="182">
        <v>4</v>
      </c>
      <c r="E68" s="182">
        <v>28</v>
      </c>
      <c r="F68" s="182">
        <v>176</v>
      </c>
      <c r="G68" s="182">
        <v>240</v>
      </c>
      <c r="H68" s="166"/>
      <c r="I68" s="187">
        <f t="shared" si="23"/>
        <v>2.3636363636363638</v>
      </c>
      <c r="J68" s="188">
        <f t="shared" si="24"/>
        <v>57.692307692307686</v>
      </c>
      <c r="K68" s="272">
        <f t="shared" si="25"/>
        <v>42.307692307692307</v>
      </c>
    </row>
    <row r="69" spans="1:11">
      <c r="A69" s="191" t="s">
        <v>309</v>
      </c>
      <c r="B69" s="182">
        <v>2</v>
      </c>
      <c r="C69" s="182">
        <v>14</v>
      </c>
      <c r="D69" s="182">
        <v>1</v>
      </c>
      <c r="E69" s="182">
        <v>0</v>
      </c>
      <c r="F69" s="182">
        <v>13</v>
      </c>
      <c r="G69" s="182">
        <v>4</v>
      </c>
      <c r="H69" s="166"/>
      <c r="I69" s="187">
        <f t="shared" si="23"/>
        <v>1.3076923076923077</v>
      </c>
      <c r="J69" s="188">
        <f t="shared" si="24"/>
        <v>23.52941176470588</v>
      </c>
      <c r="K69" s="272">
        <f t="shared" si="25"/>
        <v>76.470588235294116</v>
      </c>
    </row>
    <row r="70" spans="1:11">
      <c r="A70" s="191" t="s">
        <v>310</v>
      </c>
      <c r="B70" s="182">
        <v>291</v>
      </c>
      <c r="C70" s="182">
        <v>171</v>
      </c>
      <c r="D70" s="182">
        <v>4</v>
      </c>
      <c r="E70" s="182">
        <v>26</v>
      </c>
      <c r="F70" s="182">
        <v>287</v>
      </c>
      <c r="G70" s="182">
        <v>205</v>
      </c>
      <c r="H70" s="166"/>
      <c r="I70" s="187">
        <f t="shared" si="23"/>
        <v>1.7142857142857142</v>
      </c>
      <c r="J70" s="188">
        <f t="shared" si="24"/>
        <v>41.666666666666671</v>
      </c>
      <c r="K70" s="272">
        <f t="shared" si="25"/>
        <v>58.333333333333336</v>
      </c>
    </row>
    <row r="71" spans="1:11">
      <c r="A71" s="191" t="s">
        <v>311</v>
      </c>
      <c r="B71" s="182">
        <v>21</v>
      </c>
      <c r="C71" s="182">
        <v>25</v>
      </c>
      <c r="D71" s="182">
        <v>21</v>
      </c>
      <c r="E71" s="182">
        <v>0</v>
      </c>
      <c r="F71" s="182">
        <v>41</v>
      </c>
      <c r="G71" s="182">
        <v>26</v>
      </c>
      <c r="H71" s="166"/>
      <c r="I71" s="187">
        <f t="shared" si="23"/>
        <v>1.6341463414634145</v>
      </c>
      <c r="J71" s="188">
        <f t="shared" si="24"/>
        <v>38.805970149253731</v>
      </c>
      <c r="K71" s="272">
        <f t="shared" si="25"/>
        <v>61.194029850746269</v>
      </c>
    </row>
    <row r="72" spans="1:11">
      <c r="A72" s="191" t="s">
        <v>995</v>
      </c>
      <c r="B72" s="182">
        <v>18</v>
      </c>
      <c r="C72" s="182">
        <v>46</v>
      </c>
      <c r="D72" s="182">
        <v>12</v>
      </c>
      <c r="E72" s="182">
        <v>0</v>
      </c>
      <c r="F72" s="182">
        <v>65</v>
      </c>
      <c r="G72" s="182">
        <v>11</v>
      </c>
      <c r="H72" s="166"/>
      <c r="I72" s="187">
        <f t="shared" si="23"/>
        <v>1.1692307692307693</v>
      </c>
      <c r="J72" s="188">
        <f t="shared" si="24"/>
        <v>14.473684210526317</v>
      </c>
      <c r="K72" s="272">
        <f t="shared" si="25"/>
        <v>85.526315789473685</v>
      </c>
    </row>
    <row r="73" spans="1:11">
      <c r="A73" s="194"/>
      <c r="B73" s="182"/>
      <c r="C73" s="182"/>
      <c r="D73" s="182"/>
      <c r="E73" s="182"/>
      <c r="F73" s="182"/>
      <c r="G73" s="182"/>
      <c r="H73" s="166"/>
      <c r="I73" s="187"/>
      <c r="J73" s="188"/>
      <c r="K73" s="272"/>
    </row>
    <row r="74" spans="1:11" s="220" customFormat="1" ht="20.399999999999999">
      <c r="A74" s="190" t="s">
        <v>812</v>
      </c>
      <c r="B74" s="169">
        <f t="shared" ref="B74:G74" si="26">SUM(B75:B81)</f>
        <v>2538</v>
      </c>
      <c r="C74" s="169">
        <f t="shared" si="26"/>
        <v>2751</v>
      </c>
      <c r="D74" s="169">
        <f t="shared" si="26"/>
        <v>358</v>
      </c>
      <c r="E74" s="169">
        <f t="shared" si="26"/>
        <v>599</v>
      </c>
      <c r="F74" s="169">
        <f t="shared" si="26"/>
        <v>3727</v>
      </c>
      <c r="G74" s="169">
        <f t="shared" si="26"/>
        <v>2519</v>
      </c>
      <c r="H74" s="401"/>
      <c r="I74" s="183">
        <f>SUM(B74:E74)/F74</f>
        <v>1.675878722833378</v>
      </c>
      <c r="J74" s="184">
        <f t="shared" ref="J74:J81" si="27">(G74/SUM(B74:E74))*100</f>
        <v>40.329811079090618</v>
      </c>
      <c r="K74" s="271">
        <f t="shared" ref="K74:K81" si="28">(F74/SUM(B74:E74))*100</f>
        <v>59.670188920909382</v>
      </c>
    </row>
    <row r="75" spans="1:11">
      <c r="A75" s="194" t="s">
        <v>719</v>
      </c>
      <c r="B75" s="182">
        <v>967</v>
      </c>
      <c r="C75" s="182">
        <v>834</v>
      </c>
      <c r="D75" s="182">
        <v>39</v>
      </c>
      <c r="E75" s="182">
        <v>404</v>
      </c>
      <c r="F75" s="182">
        <v>1537</v>
      </c>
      <c r="G75" s="182">
        <v>707</v>
      </c>
      <c r="H75" s="166"/>
      <c r="I75" s="187">
        <f>SUM(B75:E75)/F75</f>
        <v>1.4599869876382563</v>
      </c>
      <c r="J75" s="188">
        <f t="shared" si="27"/>
        <v>31.506238859180037</v>
      </c>
      <c r="K75" s="272">
        <f t="shared" si="28"/>
        <v>68.49376114081997</v>
      </c>
    </row>
    <row r="76" spans="1:11">
      <c r="A76" s="194" t="s">
        <v>996</v>
      </c>
      <c r="B76" s="182">
        <v>1231</v>
      </c>
      <c r="C76" s="182">
        <v>1554</v>
      </c>
      <c r="D76" s="182">
        <v>275</v>
      </c>
      <c r="E76" s="182">
        <v>185</v>
      </c>
      <c r="F76" s="182">
        <v>1862</v>
      </c>
      <c r="G76" s="182">
        <v>1383</v>
      </c>
      <c r="H76" s="166"/>
      <c r="I76" s="187">
        <f>SUM(B76:E76)/F76</f>
        <v>1.7427497314715359</v>
      </c>
      <c r="J76" s="188">
        <f t="shared" si="27"/>
        <v>42.619414483821259</v>
      </c>
      <c r="K76" s="272">
        <f t="shared" si="28"/>
        <v>57.380585516178741</v>
      </c>
    </row>
    <row r="77" spans="1:11">
      <c r="A77" s="191" t="s">
        <v>815</v>
      </c>
      <c r="B77" s="182">
        <v>9</v>
      </c>
      <c r="C77" s="182">
        <v>2</v>
      </c>
      <c r="D77" s="182">
        <v>0</v>
      </c>
      <c r="E77" s="182">
        <v>0</v>
      </c>
      <c r="F77" s="182">
        <v>2</v>
      </c>
      <c r="G77" s="182">
        <v>9</v>
      </c>
      <c r="H77" s="166"/>
      <c r="I77" s="187">
        <f>SUM(B77:E77)/F77</f>
        <v>5.5</v>
      </c>
      <c r="J77" s="188">
        <f t="shared" si="27"/>
        <v>81.818181818181827</v>
      </c>
      <c r="K77" s="272">
        <f t="shared" si="28"/>
        <v>18.181818181818183</v>
      </c>
    </row>
    <row r="78" spans="1:11">
      <c r="A78" s="191" t="s">
        <v>817</v>
      </c>
      <c r="B78" s="182">
        <v>1</v>
      </c>
      <c r="C78" s="182">
        <v>0</v>
      </c>
      <c r="D78" s="182">
        <v>0</v>
      </c>
      <c r="E78" s="182">
        <v>0</v>
      </c>
      <c r="F78" s="182">
        <v>1</v>
      </c>
      <c r="G78" s="182">
        <v>0</v>
      </c>
      <c r="H78" s="166"/>
      <c r="I78" s="187">
        <f>SUM(B78:E78)/F78</f>
        <v>1</v>
      </c>
      <c r="J78" s="188">
        <f t="shared" si="27"/>
        <v>0</v>
      </c>
      <c r="K78" s="272">
        <f t="shared" si="28"/>
        <v>100</v>
      </c>
    </row>
    <row r="79" spans="1:11">
      <c r="A79" s="191" t="s">
        <v>818</v>
      </c>
      <c r="B79" s="182">
        <v>108</v>
      </c>
      <c r="C79" s="182">
        <v>147</v>
      </c>
      <c r="D79" s="182">
        <v>11</v>
      </c>
      <c r="E79" s="182">
        <v>0</v>
      </c>
      <c r="F79" s="182">
        <v>102</v>
      </c>
      <c r="G79" s="182">
        <v>164</v>
      </c>
      <c r="H79" s="166"/>
      <c r="I79" s="187">
        <v>0</v>
      </c>
      <c r="J79" s="188">
        <f t="shared" si="27"/>
        <v>61.65413533834586</v>
      </c>
      <c r="K79" s="272">
        <f t="shared" si="28"/>
        <v>38.345864661654133</v>
      </c>
    </row>
    <row r="80" spans="1:11">
      <c r="A80" s="191" t="s">
        <v>997</v>
      </c>
      <c r="B80" s="182">
        <v>222</v>
      </c>
      <c r="C80" s="182">
        <v>214</v>
      </c>
      <c r="D80" s="182">
        <v>33</v>
      </c>
      <c r="E80" s="182">
        <v>10</v>
      </c>
      <c r="F80" s="182">
        <v>223</v>
      </c>
      <c r="G80" s="182">
        <v>256</v>
      </c>
      <c r="H80" s="166"/>
      <c r="I80" s="187">
        <f>SUM(B80:E80)/F80</f>
        <v>2.1479820627802693</v>
      </c>
      <c r="J80" s="188">
        <f t="shared" si="27"/>
        <v>53.444676409185796</v>
      </c>
      <c r="K80" s="272">
        <f t="shared" si="28"/>
        <v>46.555323590814197</v>
      </c>
    </row>
    <row r="81" spans="1:11">
      <c r="A81" s="191" t="s">
        <v>998</v>
      </c>
      <c r="B81" s="182"/>
      <c r="C81" s="182"/>
      <c r="D81" s="182"/>
      <c r="E81" s="182"/>
      <c r="F81" s="182"/>
      <c r="G81" s="182"/>
      <c r="H81" s="166"/>
      <c r="I81" s="187" t="e">
        <f>SUM(B81:E81)/F81</f>
        <v>#DIV/0!</v>
      </c>
      <c r="J81" s="188" t="e">
        <f t="shared" si="27"/>
        <v>#DIV/0!</v>
      </c>
      <c r="K81" s="272" t="e">
        <f t="shared" si="28"/>
        <v>#DIV/0!</v>
      </c>
    </row>
    <row r="82" spans="1:11">
      <c r="A82" s="194"/>
      <c r="B82" s="182"/>
      <c r="C82" s="182"/>
      <c r="D82" s="182"/>
      <c r="E82" s="182"/>
      <c r="F82" s="182"/>
      <c r="G82" s="182"/>
      <c r="H82" s="166"/>
      <c r="I82" s="187"/>
      <c r="J82" s="188"/>
      <c r="K82" s="272"/>
    </row>
    <row r="83" spans="1:11" s="220" customFormat="1" ht="20.399999999999999">
      <c r="A83" s="190" t="s">
        <v>820</v>
      </c>
      <c r="B83" s="169">
        <f t="shared" ref="B83:G83" si="29">SUM(B84:B91)</f>
        <v>1875</v>
      </c>
      <c r="C83" s="169">
        <f t="shared" si="29"/>
        <v>1094</v>
      </c>
      <c r="D83" s="169">
        <f t="shared" si="29"/>
        <v>147</v>
      </c>
      <c r="E83" s="169">
        <f t="shared" si="29"/>
        <v>102</v>
      </c>
      <c r="F83" s="169">
        <f t="shared" si="29"/>
        <v>1389</v>
      </c>
      <c r="G83" s="169">
        <f t="shared" si="29"/>
        <v>1829</v>
      </c>
      <c r="H83" s="401"/>
      <c r="I83" s="183">
        <f t="shared" ref="I83:I91" si="30">SUM(B83:E83)/F83</f>
        <v>2.3167746580273576</v>
      </c>
      <c r="J83" s="184">
        <f t="shared" ref="J83:J91" si="31">(G83/SUM(B83:E83))*100</f>
        <v>56.836544437538848</v>
      </c>
      <c r="K83" s="271">
        <f t="shared" ref="K83:K91" si="32">(F83/SUM(B83:E83))*100</f>
        <v>43.163455562461159</v>
      </c>
    </row>
    <row r="84" spans="1:11">
      <c r="A84" s="191" t="s">
        <v>821</v>
      </c>
      <c r="B84" s="182">
        <v>567</v>
      </c>
      <c r="C84" s="182">
        <v>256</v>
      </c>
      <c r="D84" s="182">
        <v>35</v>
      </c>
      <c r="E84" s="182">
        <v>44</v>
      </c>
      <c r="F84" s="182">
        <v>411</v>
      </c>
      <c r="G84" s="182">
        <v>491</v>
      </c>
      <c r="H84" s="166"/>
      <c r="I84" s="187">
        <f t="shared" si="30"/>
        <v>2.1946472019464722</v>
      </c>
      <c r="J84" s="188">
        <f t="shared" si="31"/>
        <v>54.434589800443455</v>
      </c>
      <c r="K84" s="272">
        <f t="shared" si="32"/>
        <v>45.565410199556538</v>
      </c>
    </row>
    <row r="85" spans="1:11">
      <c r="A85" s="191" t="s">
        <v>822</v>
      </c>
      <c r="B85" s="182">
        <v>362</v>
      </c>
      <c r="C85" s="182">
        <v>169</v>
      </c>
      <c r="D85" s="182">
        <v>42</v>
      </c>
      <c r="E85" s="182">
        <v>0</v>
      </c>
      <c r="F85" s="182">
        <v>215</v>
      </c>
      <c r="G85" s="182">
        <v>358</v>
      </c>
      <c r="H85" s="166"/>
      <c r="I85" s="187">
        <f t="shared" si="30"/>
        <v>2.6651162790697676</v>
      </c>
      <c r="J85" s="188">
        <f t="shared" si="31"/>
        <v>62.478184991273999</v>
      </c>
      <c r="K85" s="272">
        <f t="shared" si="32"/>
        <v>37.521815008726009</v>
      </c>
    </row>
    <row r="86" spans="1:11">
      <c r="A86" s="191" t="s">
        <v>999</v>
      </c>
      <c r="B86" s="182">
        <v>476</v>
      </c>
      <c r="C86" s="182">
        <v>309</v>
      </c>
      <c r="D86" s="182">
        <v>20</v>
      </c>
      <c r="E86" s="182">
        <v>58</v>
      </c>
      <c r="F86" s="182">
        <v>357</v>
      </c>
      <c r="G86" s="182">
        <v>506</v>
      </c>
      <c r="H86" s="166"/>
      <c r="I86" s="187">
        <f t="shared" si="30"/>
        <v>2.4173669467787113</v>
      </c>
      <c r="J86" s="188">
        <f t="shared" si="31"/>
        <v>58.632676709154119</v>
      </c>
      <c r="K86" s="272">
        <f t="shared" si="32"/>
        <v>41.367323290845889</v>
      </c>
    </row>
    <row r="87" spans="1:11">
      <c r="A87" s="191" t="s">
        <v>824</v>
      </c>
      <c r="B87" s="182">
        <v>129</v>
      </c>
      <c r="C87" s="182">
        <v>57</v>
      </c>
      <c r="D87" s="182">
        <v>7</v>
      </c>
      <c r="E87" s="182">
        <v>0</v>
      </c>
      <c r="F87" s="182">
        <v>114</v>
      </c>
      <c r="G87" s="182">
        <v>79</v>
      </c>
      <c r="H87" s="166"/>
      <c r="I87" s="187">
        <f t="shared" si="30"/>
        <v>1.6929824561403508</v>
      </c>
      <c r="J87" s="188">
        <f t="shared" si="31"/>
        <v>40.932642487046635</v>
      </c>
      <c r="K87" s="272">
        <f t="shared" si="32"/>
        <v>59.067357512953365</v>
      </c>
    </row>
    <row r="88" spans="1:11">
      <c r="A88" s="191" t="s">
        <v>1000</v>
      </c>
      <c r="B88" s="182">
        <v>89</v>
      </c>
      <c r="C88" s="182">
        <v>38</v>
      </c>
      <c r="D88" s="182">
        <v>3</v>
      </c>
      <c r="E88" s="182">
        <v>0</v>
      </c>
      <c r="F88" s="182">
        <v>31</v>
      </c>
      <c r="G88" s="182">
        <v>99</v>
      </c>
      <c r="H88" s="166"/>
      <c r="I88" s="187">
        <f t="shared" si="30"/>
        <v>4.193548387096774</v>
      </c>
      <c r="J88" s="188">
        <f t="shared" si="31"/>
        <v>76.153846153846146</v>
      </c>
      <c r="K88" s="272">
        <f t="shared" si="32"/>
        <v>23.846153846153847</v>
      </c>
    </row>
    <row r="89" spans="1:11">
      <c r="A89" s="191" t="s">
        <v>826</v>
      </c>
      <c r="B89" s="182">
        <v>87</v>
      </c>
      <c r="C89" s="182">
        <v>182</v>
      </c>
      <c r="D89" s="182">
        <v>32</v>
      </c>
      <c r="E89" s="182">
        <v>0</v>
      </c>
      <c r="F89" s="182">
        <v>157</v>
      </c>
      <c r="G89" s="182">
        <v>144</v>
      </c>
      <c r="H89" s="166"/>
      <c r="I89" s="187">
        <f t="shared" si="30"/>
        <v>1.9171974522292994</v>
      </c>
      <c r="J89" s="188">
        <f t="shared" si="31"/>
        <v>47.840531561461795</v>
      </c>
      <c r="K89" s="272">
        <f t="shared" si="32"/>
        <v>52.159468438538205</v>
      </c>
    </row>
    <row r="90" spans="1:11">
      <c r="A90" s="191" t="s">
        <v>1001</v>
      </c>
      <c r="B90" s="182">
        <v>43</v>
      </c>
      <c r="C90" s="182">
        <v>48</v>
      </c>
      <c r="D90" s="182">
        <v>7</v>
      </c>
      <c r="E90" s="182">
        <v>0</v>
      </c>
      <c r="F90" s="182">
        <v>66</v>
      </c>
      <c r="G90" s="182">
        <v>32</v>
      </c>
      <c r="H90" s="166"/>
      <c r="I90" s="187">
        <f t="shared" si="30"/>
        <v>1.4848484848484849</v>
      </c>
      <c r="J90" s="188">
        <f t="shared" si="31"/>
        <v>32.653061224489797</v>
      </c>
      <c r="K90" s="272">
        <f t="shared" si="32"/>
        <v>67.346938775510196</v>
      </c>
    </row>
    <row r="91" spans="1:11">
      <c r="A91" s="191" t="s">
        <v>828</v>
      </c>
      <c r="B91" s="182">
        <v>122</v>
      </c>
      <c r="C91" s="182">
        <v>35</v>
      </c>
      <c r="D91" s="182">
        <v>1</v>
      </c>
      <c r="E91" s="182">
        <v>0</v>
      </c>
      <c r="F91" s="182">
        <v>38</v>
      </c>
      <c r="G91" s="182">
        <v>120</v>
      </c>
      <c r="H91" s="166"/>
      <c r="I91" s="187">
        <f t="shared" si="30"/>
        <v>4.1578947368421053</v>
      </c>
      <c r="J91" s="188">
        <f t="shared" si="31"/>
        <v>75.949367088607602</v>
      </c>
      <c r="K91" s="272">
        <f t="shared" si="32"/>
        <v>24.050632911392405</v>
      </c>
    </row>
    <row r="92" spans="1:11">
      <c r="A92" s="194"/>
      <c r="B92" s="182"/>
      <c r="C92" s="182"/>
      <c r="D92" s="182"/>
      <c r="E92" s="182"/>
      <c r="F92" s="182"/>
      <c r="G92" s="182"/>
      <c r="H92" s="166"/>
      <c r="I92" s="187"/>
      <c r="J92" s="188"/>
      <c r="K92" s="272"/>
    </row>
    <row r="93" spans="1:11" s="220" customFormat="1" ht="20.399999999999999">
      <c r="A93" s="190" t="s">
        <v>829</v>
      </c>
      <c r="B93" s="169">
        <f t="shared" ref="B93:G93" si="33">SUM(B94:B101)</f>
        <v>1839</v>
      </c>
      <c r="C93" s="169">
        <f t="shared" si="33"/>
        <v>1121</v>
      </c>
      <c r="D93" s="169">
        <f t="shared" si="33"/>
        <v>97</v>
      </c>
      <c r="E93" s="169">
        <f t="shared" si="33"/>
        <v>121</v>
      </c>
      <c r="F93" s="169">
        <f t="shared" si="33"/>
        <v>1413</v>
      </c>
      <c r="G93" s="169">
        <f t="shared" si="33"/>
        <v>1765</v>
      </c>
      <c r="H93" s="401"/>
      <c r="I93" s="183">
        <f t="shared" ref="I93:I101" si="34">SUM(B93:E93)/F93</f>
        <v>2.249115357395612</v>
      </c>
      <c r="J93" s="184">
        <f t="shared" ref="J93:J101" si="35">(G93/SUM(B93:E93))*100</f>
        <v>55.538074260541222</v>
      </c>
      <c r="K93" s="271">
        <f t="shared" ref="K93:K101" si="36">(F93/SUM(B93:E93))*100</f>
        <v>44.461925739458778</v>
      </c>
    </row>
    <row r="94" spans="1:11" s="220" customFormat="1">
      <c r="A94" s="191" t="s">
        <v>830</v>
      </c>
      <c r="B94" s="182">
        <v>330</v>
      </c>
      <c r="C94" s="182">
        <v>167</v>
      </c>
      <c r="D94" s="182">
        <v>14</v>
      </c>
      <c r="E94" s="182">
        <v>16</v>
      </c>
      <c r="F94" s="182">
        <v>238</v>
      </c>
      <c r="G94" s="182">
        <v>289</v>
      </c>
      <c r="H94" s="166"/>
      <c r="I94" s="187">
        <f t="shared" si="34"/>
        <v>2.2142857142857144</v>
      </c>
      <c r="J94" s="188">
        <f t="shared" si="35"/>
        <v>54.838709677419352</v>
      </c>
      <c r="K94" s="272">
        <f t="shared" si="36"/>
        <v>45.161290322580641</v>
      </c>
    </row>
    <row r="95" spans="1:11">
      <c r="A95" s="191" t="s">
        <v>831</v>
      </c>
      <c r="B95" s="182">
        <v>592</v>
      </c>
      <c r="C95" s="182">
        <v>280</v>
      </c>
      <c r="D95" s="182">
        <v>66</v>
      </c>
      <c r="E95" s="182">
        <v>0</v>
      </c>
      <c r="F95" s="182">
        <v>373</v>
      </c>
      <c r="G95" s="182">
        <v>565</v>
      </c>
      <c r="H95" s="166"/>
      <c r="I95" s="187">
        <f t="shared" si="34"/>
        <v>2.5147453083109919</v>
      </c>
      <c r="J95" s="188">
        <f t="shared" si="35"/>
        <v>60.234541577825162</v>
      </c>
      <c r="K95" s="272">
        <f t="shared" si="36"/>
        <v>39.765458422174838</v>
      </c>
    </row>
    <row r="96" spans="1:11">
      <c r="A96" s="194" t="s">
        <v>1002</v>
      </c>
      <c r="B96" s="182">
        <v>216</v>
      </c>
      <c r="C96" s="182">
        <v>273</v>
      </c>
      <c r="D96" s="182">
        <v>8</v>
      </c>
      <c r="E96" s="182">
        <v>79</v>
      </c>
      <c r="F96" s="182">
        <v>371</v>
      </c>
      <c r="G96" s="182">
        <v>205</v>
      </c>
      <c r="H96" s="166"/>
      <c r="I96" s="187">
        <f t="shared" si="34"/>
        <v>1.5525606469002695</v>
      </c>
      <c r="J96" s="188">
        <f t="shared" si="35"/>
        <v>35.590277777777779</v>
      </c>
      <c r="K96" s="272">
        <f t="shared" si="36"/>
        <v>64.409722222222214</v>
      </c>
    </row>
    <row r="97" spans="1:11">
      <c r="A97" s="194" t="s">
        <v>720</v>
      </c>
      <c r="B97" s="182">
        <v>228</v>
      </c>
      <c r="C97" s="182">
        <v>187</v>
      </c>
      <c r="D97" s="182">
        <v>3</v>
      </c>
      <c r="E97" s="182">
        <v>26</v>
      </c>
      <c r="F97" s="182">
        <v>201</v>
      </c>
      <c r="G97" s="182">
        <v>243</v>
      </c>
      <c r="H97" s="166"/>
      <c r="I97" s="187">
        <f t="shared" si="34"/>
        <v>2.2089552238805972</v>
      </c>
      <c r="J97" s="188">
        <f t="shared" si="35"/>
        <v>54.729729729729726</v>
      </c>
      <c r="K97" s="272">
        <f t="shared" si="36"/>
        <v>45.270270270270267</v>
      </c>
    </row>
    <row r="98" spans="1:11">
      <c r="A98" s="191" t="s">
        <v>832</v>
      </c>
      <c r="B98" s="182">
        <v>12</v>
      </c>
      <c r="C98" s="182">
        <v>15</v>
      </c>
      <c r="D98" s="182">
        <v>0</v>
      </c>
      <c r="E98" s="182">
        <v>0</v>
      </c>
      <c r="F98" s="182">
        <v>18</v>
      </c>
      <c r="G98" s="182">
        <v>9</v>
      </c>
      <c r="H98" s="166"/>
      <c r="I98" s="187">
        <f t="shared" si="34"/>
        <v>1.5</v>
      </c>
      <c r="J98" s="188">
        <f t="shared" si="35"/>
        <v>33.333333333333329</v>
      </c>
      <c r="K98" s="272">
        <f t="shared" si="36"/>
        <v>66.666666666666657</v>
      </c>
    </row>
    <row r="99" spans="1:11">
      <c r="A99" s="191" t="s">
        <v>833</v>
      </c>
      <c r="B99" s="182">
        <v>439</v>
      </c>
      <c r="C99" s="182">
        <v>155</v>
      </c>
      <c r="D99" s="182">
        <v>2</v>
      </c>
      <c r="E99" s="182">
        <v>0</v>
      </c>
      <c r="F99" s="182">
        <v>162</v>
      </c>
      <c r="G99" s="182">
        <v>434</v>
      </c>
      <c r="H99" s="166"/>
      <c r="I99" s="187">
        <f t="shared" si="34"/>
        <v>3.6790123456790123</v>
      </c>
      <c r="J99" s="188">
        <f t="shared" si="35"/>
        <v>72.818791946308721</v>
      </c>
      <c r="K99" s="272">
        <f t="shared" si="36"/>
        <v>27.181208053691275</v>
      </c>
    </row>
    <row r="100" spans="1:11">
      <c r="A100" s="191" t="s">
        <v>1003</v>
      </c>
      <c r="B100" s="182">
        <v>1</v>
      </c>
      <c r="C100" s="182">
        <v>5</v>
      </c>
      <c r="D100" s="182">
        <v>0</v>
      </c>
      <c r="E100" s="182">
        <v>0</v>
      </c>
      <c r="F100" s="182">
        <v>5</v>
      </c>
      <c r="G100" s="182">
        <v>1</v>
      </c>
      <c r="H100" s="166"/>
      <c r="I100" s="187">
        <f t="shared" si="34"/>
        <v>1.2</v>
      </c>
      <c r="J100" s="188">
        <f t="shared" si="35"/>
        <v>16.666666666666664</v>
      </c>
      <c r="K100" s="272">
        <f t="shared" si="36"/>
        <v>83.333333333333343</v>
      </c>
    </row>
    <row r="101" spans="1:11">
      <c r="A101" s="191" t="s">
        <v>835</v>
      </c>
      <c r="B101" s="182">
        <v>21</v>
      </c>
      <c r="C101" s="182">
        <v>39</v>
      </c>
      <c r="D101" s="182">
        <v>4</v>
      </c>
      <c r="E101" s="182">
        <v>0</v>
      </c>
      <c r="F101" s="182">
        <v>45</v>
      </c>
      <c r="G101" s="182">
        <v>19</v>
      </c>
      <c r="H101" s="166"/>
      <c r="I101" s="187">
        <f t="shared" si="34"/>
        <v>1.4222222222222223</v>
      </c>
      <c r="J101" s="188">
        <f t="shared" si="35"/>
        <v>29.6875</v>
      </c>
      <c r="K101" s="272">
        <f t="shared" si="36"/>
        <v>70.3125</v>
      </c>
    </row>
    <row r="102" spans="1:11">
      <c r="A102" s="194"/>
      <c r="B102" s="182"/>
      <c r="C102" s="182"/>
      <c r="D102" s="182"/>
      <c r="E102" s="182"/>
      <c r="F102" s="182"/>
      <c r="G102" s="182"/>
      <c r="H102" s="166"/>
      <c r="I102" s="187"/>
      <c r="J102" s="188"/>
      <c r="K102" s="272"/>
    </row>
    <row r="103" spans="1:11" s="220" customFormat="1" ht="20.399999999999999">
      <c r="A103" s="190" t="s">
        <v>836</v>
      </c>
      <c r="B103" s="169">
        <f t="shared" ref="B103:G103" si="37">SUM(B104:B113)</f>
        <v>4223</v>
      </c>
      <c r="C103" s="169">
        <f t="shared" si="37"/>
        <v>1842</v>
      </c>
      <c r="D103" s="169">
        <f t="shared" si="37"/>
        <v>829</v>
      </c>
      <c r="E103" s="169">
        <f t="shared" si="37"/>
        <v>53</v>
      </c>
      <c r="F103" s="169">
        <f t="shared" si="37"/>
        <v>3481</v>
      </c>
      <c r="G103" s="169">
        <f t="shared" si="37"/>
        <v>3466</v>
      </c>
      <c r="H103" s="401"/>
      <c r="I103" s="183">
        <f>SUM(B103:E103)/F103</f>
        <v>1.9956908934214306</v>
      </c>
      <c r="J103" s="184">
        <f>(G103/SUM(B103:E103))*100</f>
        <v>49.89203972937959</v>
      </c>
      <c r="K103" s="271">
        <f>(F103/SUM(B103:E103))*100</f>
        <v>50.10796027062041</v>
      </c>
    </row>
    <row r="104" spans="1:11">
      <c r="A104" s="194" t="s">
        <v>721</v>
      </c>
      <c r="B104" s="182">
        <v>2647</v>
      </c>
      <c r="C104" s="182">
        <v>802</v>
      </c>
      <c r="D104" s="182">
        <v>691</v>
      </c>
      <c r="E104" s="182">
        <v>21</v>
      </c>
      <c r="F104" s="182">
        <v>2120</v>
      </c>
      <c r="G104" s="182">
        <v>2041</v>
      </c>
      <c r="H104" s="166"/>
      <c r="I104" s="187">
        <f>SUM(B104:E104)/F104</f>
        <v>1.9627358490566038</v>
      </c>
      <c r="J104" s="188">
        <f>(G104/SUM(B104:E104))*100</f>
        <v>49.050708964191294</v>
      </c>
      <c r="K104" s="272">
        <f>(F104/SUM(B104:E104))*100</f>
        <v>50.949291035808699</v>
      </c>
    </row>
    <row r="105" spans="1:11">
      <c r="A105" s="191" t="s">
        <v>838</v>
      </c>
      <c r="B105" s="182">
        <v>308</v>
      </c>
      <c r="C105" s="182">
        <v>114</v>
      </c>
      <c r="D105" s="182">
        <v>18</v>
      </c>
      <c r="E105" s="182">
        <v>0</v>
      </c>
      <c r="F105" s="182">
        <v>189</v>
      </c>
      <c r="G105" s="182">
        <v>251</v>
      </c>
      <c r="H105" s="166"/>
      <c r="I105" s="187">
        <f>SUM(B105:E105)/F105</f>
        <v>2.3280423280423279</v>
      </c>
      <c r="J105" s="188">
        <f>(G105/SUM(B105:E105))*100</f>
        <v>57.045454545454547</v>
      </c>
      <c r="K105" s="272">
        <f>(F105/SUM(B105:E105))*100</f>
        <v>42.954545454545453</v>
      </c>
    </row>
    <row r="106" spans="1:11">
      <c r="A106" s="194" t="s">
        <v>1004</v>
      </c>
      <c r="B106" s="182">
        <v>429</v>
      </c>
      <c r="C106" s="182">
        <v>583</v>
      </c>
      <c r="D106" s="182">
        <v>37</v>
      </c>
      <c r="E106" s="182">
        <v>28</v>
      </c>
      <c r="F106" s="182">
        <v>603</v>
      </c>
      <c r="G106" s="182">
        <v>474</v>
      </c>
      <c r="H106" s="166"/>
      <c r="I106" s="187">
        <f>SUM(B106:E106)/F106</f>
        <v>1.7860696517412935</v>
      </c>
      <c r="J106" s="188">
        <f>(G106/SUM(B106:E106))*100</f>
        <v>44.01114206128134</v>
      </c>
      <c r="K106" s="272">
        <f>(F106/SUM(B106:E106))*100</f>
        <v>55.98885793871866</v>
      </c>
    </row>
    <row r="107" spans="1:11">
      <c r="A107" s="429" t="s">
        <v>840</v>
      </c>
      <c r="B107" s="182"/>
      <c r="C107" s="182"/>
      <c r="D107" s="182"/>
      <c r="E107" s="182"/>
      <c r="F107" s="182"/>
      <c r="G107" s="182"/>
      <c r="H107" s="166"/>
      <c r="I107" s="413" t="s">
        <v>239</v>
      </c>
      <c r="J107" s="413" t="s">
        <v>239</v>
      </c>
      <c r="K107" s="414" t="s">
        <v>239</v>
      </c>
    </row>
    <row r="108" spans="1:11">
      <c r="A108" s="429" t="s">
        <v>1005</v>
      </c>
      <c r="B108" s="182"/>
      <c r="C108" s="182"/>
      <c r="D108" s="182"/>
      <c r="E108" s="182"/>
      <c r="F108" s="182"/>
      <c r="G108" s="182"/>
      <c r="H108" s="166"/>
      <c r="I108" s="413" t="s">
        <v>239</v>
      </c>
      <c r="J108" s="413" t="s">
        <v>239</v>
      </c>
      <c r="K108" s="414" t="s">
        <v>239</v>
      </c>
    </row>
    <row r="109" spans="1:11">
      <c r="A109" s="191" t="s">
        <v>704</v>
      </c>
      <c r="B109" s="182">
        <v>181</v>
      </c>
      <c r="C109" s="182">
        <v>95</v>
      </c>
      <c r="D109" s="182">
        <v>12</v>
      </c>
      <c r="E109" s="182">
        <v>2</v>
      </c>
      <c r="F109" s="182">
        <v>135</v>
      </c>
      <c r="G109" s="182">
        <v>155</v>
      </c>
      <c r="H109" s="166"/>
      <c r="I109" s="187">
        <f>SUM(B109:E109)/F109</f>
        <v>2.1481481481481484</v>
      </c>
      <c r="J109" s="188">
        <f>(G109/SUM(B109:E109))*100</f>
        <v>53.448275862068961</v>
      </c>
      <c r="K109" s="272">
        <f>(F109/SUM(B109:E109))*100</f>
        <v>46.551724137931032</v>
      </c>
    </row>
    <row r="110" spans="1:11">
      <c r="A110" s="191" t="s">
        <v>1006</v>
      </c>
      <c r="B110" s="182">
        <v>113</v>
      </c>
      <c r="C110" s="182">
        <v>60</v>
      </c>
      <c r="D110" s="182">
        <v>31</v>
      </c>
      <c r="E110" s="182">
        <v>0</v>
      </c>
      <c r="F110" s="182">
        <v>123</v>
      </c>
      <c r="G110" s="182">
        <v>81</v>
      </c>
      <c r="H110" s="166"/>
      <c r="I110" s="187">
        <f>SUM(B110:E110)/F110</f>
        <v>1.6585365853658536</v>
      </c>
      <c r="J110" s="188">
        <f>(G110/SUM(B110:E110))*100</f>
        <v>39.705882352941174</v>
      </c>
      <c r="K110" s="272">
        <f>(F110/SUM(B110:E110))*100</f>
        <v>60.294117647058819</v>
      </c>
    </row>
    <row r="111" spans="1:11">
      <c r="A111" s="191" t="s">
        <v>1007</v>
      </c>
      <c r="B111" s="182">
        <v>409</v>
      </c>
      <c r="C111" s="182">
        <v>106</v>
      </c>
      <c r="D111" s="182">
        <v>27</v>
      </c>
      <c r="E111" s="182">
        <v>0</v>
      </c>
      <c r="F111" s="182">
        <v>268</v>
      </c>
      <c r="G111" s="182">
        <v>274</v>
      </c>
      <c r="H111" s="166"/>
      <c r="I111" s="187">
        <f>SUM(B111:E111)/F111</f>
        <v>2.0223880597014925</v>
      </c>
      <c r="J111" s="188">
        <f>(G111/SUM(B111:E111))*100</f>
        <v>50.553505535055351</v>
      </c>
      <c r="K111" s="272">
        <f>(F111/SUM(B111:E111))*100</f>
        <v>49.446494464944649</v>
      </c>
    </row>
    <row r="112" spans="1:11">
      <c r="A112" s="191" t="s">
        <v>1008</v>
      </c>
      <c r="B112" s="182">
        <v>104</v>
      </c>
      <c r="C112" s="182">
        <v>56</v>
      </c>
      <c r="D112" s="182">
        <v>12</v>
      </c>
      <c r="E112" s="182">
        <v>0</v>
      </c>
      <c r="F112" s="182">
        <v>27</v>
      </c>
      <c r="G112" s="182">
        <v>145</v>
      </c>
      <c r="H112" s="166"/>
      <c r="I112" s="187">
        <f>SUM(B112:E112)/F112</f>
        <v>6.3703703703703702</v>
      </c>
      <c r="J112" s="188">
        <f>(G112/SUM(B112:E112))*100</f>
        <v>84.302325581395351</v>
      </c>
      <c r="K112" s="272">
        <f>(F112/SUM(B112:E112))*100</f>
        <v>15.697674418604651</v>
      </c>
    </row>
    <row r="113" spans="1:11">
      <c r="A113" s="191" t="s">
        <v>1009</v>
      </c>
      <c r="B113" s="182">
        <v>32</v>
      </c>
      <c r="C113" s="182">
        <v>26</v>
      </c>
      <c r="D113" s="182">
        <v>1</v>
      </c>
      <c r="E113" s="182">
        <v>2</v>
      </c>
      <c r="F113" s="182">
        <v>16</v>
      </c>
      <c r="G113" s="182">
        <v>45</v>
      </c>
      <c r="H113" s="166"/>
      <c r="I113" s="187">
        <f>SUM(B113:E113)/F113</f>
        <v>3.8125</v>
      </c>
      <c r="J113" s="188">
        <f>(G113/SUM(B113:E113))*100</f>
        <v>73.770491803278688</v>
      </c>
      <c r="K113" s="272">
        <f>(F113/SUM(B113:E113))*100</f>
        <v>26.229508196721312</v>
      </c>
    </row>
    <row r="114" spans="1:11">
      <c r="A114" s="194"/>
      <c r="B114" s="182"/>
      <c r="C114" s="182"/>
      <c r="D114" s="182"/>
      <c r="E114" s="182"/>
      <c r="F114" s="182"/>
      <c r="G114" s="182"/>
      <c r="H114" s="166"/>
      <c r="I114" s="187"/>
      <c r="J114" s="188"/>
      <c r="K114" s="272"/>
    </row>
    <row r="115" spans="1:11" s="220" customFormat="1" ht="20.399999999999999">
      <c r="A115" s="190" t="s">
        <v>845</v>
      </c>
      <c r="B115" s="169">
        <f t="shared" ref="B115:G115" si="38">SUM(B116:B119)</f>
        <v>1230</v>
      </c>
      <c r="C115" s="169">
        <f t="shared" si="38"/>
        <v>773</v>
      </c>
      <c r="D115" s="169">
        <f t="shared" si="38"/>
        <v>176</v>
      </c>
      <c r="E115" s="169">
        <f t="shared" si="38"/>
        <v>51</v>
      </c>
      <c r="F115" s="169">
        <f t="shared" si="38"/>
        <v>1140</v>
      </c>
      <c r="G115" s="169">
        <f t="shared" si="38"/>
        <v>1090</v>
      </c>
      <c r="H115" s="401"/>
      <c r="I115" s="183">
        <f>SUM(B115:E115)/F115</f>
        <v>1.9561403508771931</v>
      </c>
      <c r="J115" s="184">
        <f>(G115/SUM(B115:E115))*100</f>
        <v>48.878923766816143</v>
      </c>
      <c r="K115" s="271">
        <f>(F115/SUM(B115:E115))*100</f>
        <v>51.121076233183857</v>
      </c>
    </row>
    <row r="116" spans="1:11">
      <c r="A116" s="191" t="s">
        <v>846</v>
      </c>
      <c r="B116" s="182">
        <v>568</v>
      </c>
      <c r="C116" s="182">
        <v>328</v>
      </c>
      <c r="D116" s="182">
        <v>50</v>
      </c>
      <c r="E116" s="182">
        <v>14</v>
      </c>
      <c r="F116" s="182">
        <v>402</v>
      </c>
      <c r="G116" s="182">
        <v>558</v>
      </c>
      <c r="H116" s="166"/>
      <c r="I116" s="187">
        <f>SUM(B116:E116)/F116</f>
        <v>2.3880597014925371</v>
      </c>
      <c r="J116" s="188">
        <f>(G116/SUM(B116:E116))*100</f>
        <v>58.125000000000007</v>
      </c>
      <c r="K116" s="272">
        <f>(F116/SUM(B116:E116))*100</f>
        <v>41.875</v>
      </c>
    </row>
    <row r="117" spans="1:11">
      <c r="A117" s="191" t="s">
        <v>847</v>
      </c>
      <c r="B117" s="182">
        <v>88</v>
      </c>
      <c r="C117" s="182">
        <v>60</v>
      </c>
      <c r="D117" s="182">
        <v>7</v>
      </c>
      <c r="E117" s="182">
        <v>0</v>
      </c>
      <c r="F117" s="182">
        <v>76</v>
      </c>
      <c r="G117" s="182">
        <v>79</v>
      </c>
      <c r="H117" s="166"/>
      <c r="I117" s="187">
        <f>SUM(B117:E117)/F117</f>
        <v>2.0394736842105261</v>
      </c>
      <c r="J117" s="188">
        <f>(G117/SUM(B117:E117))*100</f>
        <v>50.967741935483865</v>
      </c>
      <c r="K117" s="272">
        <f>(F117/SUM(B117:E117))*100</f>
        <v>49.032258064516128</v>
      </c>
    </row>
    <row r="118" spans="1:11">
      <c r="A118" s="191" t="s">
        <v>1010</v>
      </c>
      <c r="B118" s="182">
        <v>532</v>
      </c>
      <c r="C118" s="182">
        <v>327</v>
      </c>
      <c r="D118" s="182">
        <v>109</v>
      </c>
      <c r="E118" s="182">
        <v>37</v>
      </c>
      <c r="F118" s="182">
        <v>608</v>
      </c>
      <c r="G118" s="182">
        <v>397</v>
      </c>
      <c r="H118" s="166"/>
      <c r="I118" s="187">
        <f>SUM(B118:E118)/F118</f>
        <v>1.6529605263157894</v>
      </c>
      <c r="J118" s="188">
        <f>(G118/SUM(B118:E118))*100</f>
        <v>39.502487562189053</v>
      </c>
      <c r="K118" s="272">
        <f>(F118/SUM(B118:E118))*100</f>
        <v>60.49751243781094</v>
      </c>
    </row>
    <row r="119" spans="1:11">
      <c r="A119" s="191" t="s">
        <v>848</v>
      </c>
      <c r="B119" s="182">
        <v>42</v>
      </c>
      <c r="C119" s="182">
        <v>58</v>
      </c>
      <c r="D119" s="182">
        <v>10</v>
      </c>
      <c r="E119" s="182">
        <v>0</v>
      </c>
      <c r="F119" s="182">
        <v>54</v>
      </c>
      <c r="G119" s="182">
        <v>56</v>
      </c>
      <c r="H119" s="166"/>
      <c r="I119" s="187">
        <f>SUM(B119:E119)/F119</f>
        <v>2.0370370370370372</v>
      </c>
      <c r="J119" s="188">
        <f>(G119/SUM(B119:E119))*100</f>
        <v>50.909090909090907</v>
      </c>
      <c r="K119" s="272">
        <f>(F119/SUM(B119:E119))*100</f>
        <v>49.090909090909093</v>
      </c>
    </row>
    <row r="120" spans="1:11">
      <c r="A120" s="234"/>
      <c r="B120" s="182"/>
      <c r="C120" s="182"/>
      <c r="D120" s="182"/>
      <c r="E120" s="182"/>
      <c r="F120" s="182"/>
      <c r="G120" s="182"/>
      <c r="H120" s="166"/>
      <c r="I120" s="187"/>
      <c r="J120" s="188"/>
      <c r="K120" s="272"/>
    </row>
    <row r="121" spans="1:11" s="220" customFormat="1" ht="20.399999999999999">
      <c r="A121" s="215" t="s">
        <v>849</v>
      </c>
      <c r="B121" s="169">
        <f t="shared" ref="B121:G121" si="39">SUM(B122:B129)</f>
        <v>979</v>
      </c>
      <c r="C121" s="169">
        <f t="shared" si="39"/>
        <v>625</v>
      </c>
      <c r="D121" s="169">
        <f t="shared" si="39"/>
        <v>110</v>
      </c>
      <c r="E121" s="169">
        <f t="shared" si="39"/>
        <v>45</v>
      </c>
      <c r="F121" s="169">
        <f t="shared" si="39"/>
        <v>974</v>
      </c>
      <c r="G121" s="169">
        <f t="shared" si="39"/>
        <v>785</v>
      </c>
      <c r="H121" s="401"/>
      <c r="I121" s="183">
        <f t="shared" ref="I121:I129" si="40">SUM(B121:E121)/F121</f>
        <v>1.8059548254620124</v>
      </c>
      <c r="J121" s="184">
        <f t="shared" ref="J121:J129" si="41">(G121/SUM(B121:E121))*100</f>
        <v>44.627629334849345</v>
      </c>
      <c r="K121" s="271">
        <f t="shared" ref="K121:K129" si="42">(F121/SUM(B121:E121))*100</f>
        <v>55.372370665150648</v>
      </c>
    </row>
    <row r="122" spans="1:11">
      <c r="A122" s="191" t="s">
        <v>850</v>
      </c>
      <c r="B122" s="182">
        <v>288</v>
      </c>
      <c r="C122" s="182">
        <v>181</v>
      </c>
      <c r="D122" s="182">
        <v>26</v>
      </c>
      <c r="E122" s="182">
        <v>1</v>
      </c>
      <c r="F122" s="182">
        <v>228</v>
      </c>
      <c r="G122" s="182">
        <v>268</v>
      </c>
      <c r="H122" s="166"/>
      <c r="I122" s="187">
        <f t="shared" si="40"/>
        <v>2.1754385964912282</v>
      </c>
      <c r="J122" s="188">
        <f t="shared" si="41"/>
        <v>54.032258064516128</v>
      </c>
      <c r="K122" s="272">
        <f t="shared" si="42"/>
        <v>45.967741935483872</v>
      </c>
    </row>
    <row r="123" spans="1:11">
      <c r="A123" s="191" t="s">
        <v>851</v>
      </c>
      <c r="B123" s="182">
        <v>127</v>
      </c>
      <c r="C123" s="182">
        <v>78</v>
      </c>
      <c r="D123" s="182">
        <v>18</v>
      </c>
      <c r="E123" s="182">
        <v>16</v>
      </c>
      <c r="F123" s="182">
        <v>161</v>
      </c>
      <c r="G123" s="182">
        <v>78</v>
      </c>
      <c r="H123" s="166"/>
      <c r="I123" s="187">
        <f t="shared" si="40"/>
        <v>1.484472049689441</v>
      </c>
      <c r="J123" s="188">
        <f t="shared" si="41"/>
        <v>32.635983263598327</v>
      </c>
      <c r="K123" s="272">
        <f t="shared" si="42"/>
        <v>67.36401673640168</v>
      </c>
    </row>
    <row r="124" spans="1:11">
      <c r="A124" s="191" t="s">
        <v>852</v>
      </c>
      <c r="B124" s="182">
        <v>71</v>
      </c>
      <c r="C124" s="182">
        <v>45</v>
      </c>
      <c r="D124" s="182">
        <v>10</v>
      </c>
      <c r="E124" s="182">
        <v>14</v>
      </c>
      <c r="F124" s="182">
        <v>84</v>
      </c>
      <c r="G124" s="182">
        <v>56</v>
      </c>
      <c r="H124" s="166"/>
      <c r="I124" s="187">
        <f t="shared" si="40"/>
        <v>1.6666666666666667</v>
      </c>
      <c r="J124" s="188">
        <f t="shared" si="41"/>
        <v>40</v>
      </c>
      <c r="K124" s="272">
        <f t="shared" si="42"/>
        <v>60</v>
      </c>
    </row>
    <row r="125" spans="1:11">
      <c r="A125" s="191" t="s">
        <v>1011</v>
      </c>
      <c r="B125" s="182">
        <v>164</v>
      </c>
      <c r="C125" s="182">
        <v>78</v>
      </c>
      <c r="D125" s="182">
        <v>2</v>
      </c>
      <c r="E125" s="182">
        <v>1</v>
      </c>
      <c r="F125" s="182">
        <v>143</v>
      </c>
      <c r="G125" s="182">
        <v>102</v>
      </c>
      <c r="H125" s="166"/>
      <c r="I125" s="187">
        <f t="shared" si="40"/>
        <v>1.7132867132867133</v>
      </c>
      <c r="J125" s="188">
        <f t="shared" si="41"/>
        <v>41.632653061224488</v>
      </c>
      <c r="K125" s="272">
        <f t="shared" si="42"/>
        <v>58.367346938775512</v>
      </c>
    </row>
    <row r="126" spans="1:11">
      <c r="A126" s="191" t="s">
        <v>854</v>
      </c>
      <c r="B126" s="182">
        <v>98</v>
      </c>
      <c r="C126" s="182">
        <v>65</v>
      </c>
      <c r="D126" s="182">
        <v>14</v>
      </c>
      <c r="E126" s="182">
        <v>0</v>
      </c>
      <c r="F126" s="182">
        <v>97</v>
      </c>
      <c r="G126" s="182">
        <v>80</v>
      </c>
      <c r="H126" s="166"/>
      <c r="I126" s="187">
        <f t="shared" si="40"/>
        <v>1.8247422680412371</v>
      </c>
      <c r="J126" s="188">
        <f t="shared" si="41"/>
        <v>45.197740112994353</v>
      </c>
      <c r="K126" s="272">
        <f t="shared" si="42"/>
        <v>54.802259887005647</v>
      </c>
    </row>
    <row r="127" spans="1:11">
      <c r="A127" s="191" t="s">
        <v>855</v>
      </c>
      <c r="B127" s="182">
        <v>163</v>
      </c>
      <c r="C127" s="182">
        <v>98</v>
      </c>
      <c r="D127" s="182">
        <v>33</v>
      </c>
      <c r="E127" s="182">
        <v>9</v>
      </c>
      <c r="F127" s="182">
        <v>148</v>
      </c>
      <c r="G127" s="182">
        <v>155</v>
      </c>
      <c r="H127" s="166"/>
      <c r="I127" s="187">
        <f t="shared" si="40"/>
        <v>2.0472972972972974</v>
      </c>
      <c r="J127" s="188">
        <f t="shared" si="41"/>
        <v>51.155115511551152</v>
      </c>
      <c r="K127" s="272">
        <f t="shared" si="42"/>
        <v>48.844884488448848</v>
      </c>
    </row>
    <row r="128" spans="1:11">
      <c r="A128" s="191" t="s">
        <v>856</v>
      </c>
      <c r="B128" s="182">
        <v>52</v>
      </c>
      <c r="C128" s="182">
        <v>64</v>
      </c>
      <c r="D128" s="182">
        <v>6</v>
      </c>
      <c r="E128" s="182">
        <v>4</v>
      </c>
      <c r="F128" s="182">
        <v>96</v>
      </c>
      <c r="G128" s="182">
        <v>30</v>
      </c>
      <c r="H128" s="166"/>
      <c r="I128" s="187">
        <f t="shared" si="40"/>
        <v>1.3125</v>
      </c>
      <c r="J128" s="188">
        <f t="shared" si="41"/>
        <v>23.809523809523807</v>
      </c>
      <c r="K128" s="272">
        <f t="shared" si="42"/>
        <v>76.19047619047619</v>
      </c>
    </row>
    <row r="129" spans="1:11">
      <c r="A129" s="191" t="s">
        <v>434</v>
      </c>
      <c r="B129" s="182">
        <v>16</v>
      </c>
      <c r="C129" s="182">
        <v>16</v>
      </c>
      <c r="D129" s="182">
        <v>1</v>
      </c>
      <c r="E129" s="182">
        <v>0</v>
      </c>
      <c r="F129" s="182">
        <v>17</v>
      </c>
      <c r="G129" s="182">
        <v>16</v>
      </c>
      <c r="H129" s="166"/>
      <c r="I129" s="187">
        <f t="shared" si="40"/>
        <v>1.9411764705882353</v>
      </c>
      <c r="J129" s="188">
        <f t="shared" si="41"/>
        <v>48.484848484848484</v>
      </c>
      <c r="K129" s="272">
        <f t="shared" si="42"/>
        <v>51.515151515151516</v>
      </c>
    </row>
    <row r="130" spans="1:11">
      <c r="A130" s="194"/>
      <c r="B130" s="182"/>
      <c r="C130" s="182"/>
      <c r="D130" s="182"/>
      <c r="E130" s="182"/>
      <c r="F130" s="182"/>
      <c r="G130" s="182"/>
      <c r="H130" s="166"/>
      <c r="I130" s="187"/>
      <c r="J130" s="188"/>
      <c r="K130" s="272"/>
    </row>
    <row r="131" spans="1:11" s="220" customFormat="1" ht="20.399999999999999">
      <c r="A131" s="190" t="s">
        <v>857</v>
      </c>
      <c r="B131" s="169">
        <f t="shared" ref="B131:G131" si="43">SUM(B132:B135)</f>
        <v>2999</v>
      </c>
      <c r="C131" s="169">
        <f t="shared" si="43"/>
        <v>1246</v>
      </c>
      <c r="D131" s="169">
        <f t="shared" si="43"/>
        <v>258</v>
      </c>
      <c r="E131" s="169">
        <f t="shared" si="43"/>
        <v>161</v>
      </c>
      <c r="F131" s="169">
        <f t="shared" si="43"/>
        <v>2519</v>
      </c>
      <c r="G131" s="169">
        <f t="shared" si="43"/>
        <v>2145</v>
      </c>
      <c r="H131" s="401"/>
      <c r="I131" s="183">
        <f>SUM(B131:E131)/F131</f>
        <v>1.8515283842794761</v>
      </c>
      <c r="J131" s="184">
        <f>(G131/SUM(B131:E131))*100</f>
        <v>45.990566037735846</v>
      </c>
      <c r="K131" s="271">
        <f>(F131/SUM(B131:E131))*100</f>
        <v>54.009433962264154</v>
      </c>
    </row>
    <row r="132" spans="1:11">
      <c r="A132" s="194" t="s">
        <v>1012</v>
      </c>
      <c r="B132" s="182">
        <v>2513</v>
      </c>
      <c r="C132" s="182">
        <v>662</v>
      </c>
      <c r="D132" s="182">
        <v>225</v>
      </c>
      <c r="E132" s="182">
        <v>71</v>
      </c>
      <c r="F132" s="182">
        <v>1966</v>
      </c>
      <c r="G132" s="182">
        <v>1505</v>
      </c>
      <c r="H132" s="166"/>
      <c r="I132" s="187">
        <f>SUM(B132:E132)/F132</f>
        <v>1.7655137334689726</v>
      </c>
      <c r="J132" s="188">
        <f>(G132/SUM(B132:E132))*100</f>
        <v>43.359262460386056</v>
      </c>
      <c r="K132" s="272">
        <f>(F132/SUM(B132:E132))*100</f>
        <v>56.640737539613937</v>
      </c>
    </row>
    <row r="133" spans="1:11">
      <c r="A133" s="191" t="s">
        <v>722</v>
      </c>
      <c r="B133" s="182">
        <v>267</v>
      </c>
      <c r="C133" s="182">
        <v>479</v>
      </c>
      <c r="D133" s="182">
        <v>23</v>
      </c>
      <c r="E133" s="182">
        <v>86</v>
      </c>
      <c r="F133" s="182">
        <v>419</v>
      </c>
      <c r="G133" s="182">
        <v>436</v>
      </c>
      <c r="H133" s="166"/>
      <c r="I133" s="187">
        <f>SUM(B133:E133)/F133</f>
        <v>2.0405727923627683</v>
      </c>
      <c r="J133" s="188">
        <f>(G133/SUM(B133:E133))*100</f>
        <v>50.994152046783626</v>
      </c>
      <c r="K133" s="272">
        <f>(F133/SUM(B133:E133))*100</f>
        <v>49.005847953216374</v>
      </c>
    </row>
    <row r="134" spans="1:11">
      <c r="A134" s="191" t="s">
        <v>858</v>
      </c>
      <c r="B134" s="182">
        <v>76</v>
      </c>
      <c r="C134" s="182">
        <v>56</v>
      </c>
      <c r="D134" s="182">
        <v>0</v>
      </c>
      <c r="E134" s="182">
        <v>4</v>
      </c>
      <c r="F134" s="182">
        <v>47</v>
      </c>
      <c r="G134" s="182">
        <v>89</v>
      </c>
      <c r="H134" s="166"/>
      <c r="I134" s="187">
        <f>SUM(B134:E134)/F134</f>
        <v>2.8936170212765959</v>
      </c>
      <c r="J134" s="188">
        <f>(G134/SUM(B134:E134))*100</f>
        <v>65.441176470588232</v>
      </c>
      <c r="K134" s="272">
        <f>(F134/SUM(B134:E134))*100</f>
        <v>34.558823529411761</v>
      </c>
    </row>
    <row r="135" spans="1:11">
      <c r="A135" s="191" t="s">
        <v>859</v>
      </c>
      <c r="B135" s="182">
        <v>143</v>
      </c>
      <c r="C135" s="182">
        <v>49</v>
      </c>
      <c r="D135" s="182">
        <v>10</v>
      </c>
      <c r="E135" s="182">
        <v>0</v>
      </c>
      <c r="F135" s="182">
        <v>87</v>
      </c>
      <c r="G135" s="182">
        <v>115</v>
      </c>
      <c r="H135" s="166"/>
      <c r="I135" s="187">
        <f>SUM(B135:E135)/F135</f>
        <v>2.3218390804597702</v>
      </c>
      <c r="J135" s="188">
        <f>(G135/SUM(B135:E135))*100</f>
        <v>56.930693069306926</v>
      </c>
      <c r="K135" s="272">
        <f>(F135/SUM(B135:E135))*100</f>
        <v>43.069306930693067</v>
      </c>
    </row>
    <row r="136" spans="1:11">
      <c r="A136" s="194"/>
      <c r="B136" s="182"/>
      <c r="C136" s="182"/>
      <c r="D136" s="182"/>
      <c r="E136" s="182"/>
      <c r="F136" s="182"/>
      <c r="G136" s="182"/>
      <c r="H136" s="166"/>
      <c r="I136" s="187"/>
      <c r="J136" s="188"/>
      <c r="K136" s="272"/>
    </row>
    <row r="137" spans="1:11" s="220" customFormat="1" ht="20.399999999999999">
      <c r="A137" s="190" t="s">
        <v>860</v>
      </c>
      <c r="B137" s="169">
        <f t="shared" ref="B137:G137" si="44">SUM(B138:B141)</f>
        <v>2993</v>
      </c>
      <c r="C137" s="169">
        <f t="shared" si="44"/>
        <v>1721</v>
      </c>
      <c r="D137" s="169">
        <f t="shared" si="44"/>
        <v>427</v>
      </c>
      <c r="E137" s="169">
        <f t="shared" si="44"/>
        <v>269</v>
      </c>
      <c r="F137" s="169">
        <f t="shared" si="44"/>
        <v>2867</v>
      </c>
      <c r="G137" s="169">
        <f t="shared" si="44"/>
        <v>2543</v>
      </c>
      <c r="H137" s="401"/>
      <c r="I137" s="183">
        <f>SUM(B137:E137)/F137</f>
        <v>1.886989884897105</v>
      </c>
      <c r="J137" s="184">
        <f>(G137/SUM(B137:E137))*100</f>
        <v>47.005545286506468</v>
      </c>
      <c r="K137" s="271">
        <f>(F137/SUM(B137:E137))*100</f>
        <v>52.994454713493532</v>
      </c>
    </row>
    <row r="138" spans="1:11">
      <c r="A138" s="194" t="s">
        <v>723</v>
      </c>
      <c r="B138" s="182">
        <v>1825</v>
      </c>
      <c r="C138" s="182">
        <v>1048</v>
      </c>
      <c r="D138" s="182">
        <v>182</v>
      </c>
      <c r="E138" s="182">
        <v>135</v>
      </c>
      <c r="F138" s="182">
        <v>1543</v>
      </c>
      <c r="G138" s="182">
        <v>1647</v>
      </c>
      <c r="H138" s="166"/>
      <c r="I138" s="187">
        <f>SUM(B138:E138)/F138</f>
        <v>2.067401166558652</v>
      </c>
      <c r="J138" s="188">
        <f>(G138/SUM(B138:E138))*100</f>
        <v>51.630094043887141</v>
      </c>
      <c r="K138" s="272">
        <f>(F138/SUM(B138:E138))*100</f>
        <v>48.369905956112852</v>
      </c>
    </row>
    <row r="139" spans="1:11">
      <c r="A139" s="191" t="s">
        <v>862</v>
      </c>
      <c r="B139" s="182">
        <v>706</v>
      </c>
      <c r="C139" s="182">
        <v>490</v>
      </c>
      <c r="D139" s="182">
        <v>169</v>
      </c>
      <c r="E139" s="182">
        <v>53</v>
      </c>
      <c r="F139" s="182">
        <v>845</v>
      </c>
      <c r="G139" s="182">
        <v>573</v>
      </c>
      <c r="H139" s="166"/>
      <c r="I139" s="187">
        <f>SUM(B139:E139)/F139</f>
        <v>1.6781065088757396</v>
      </c>
      <c r="J139" s="188">
        <f>(G139/SUM(B139:E139))*100</f>
        <v>40.409026798307472</v>
      </c>
      <c r="K139" s="272">
        <f>(F139/SUM(B139:E139))*100</f>
        <v>59.59097320169252</v>
      </c>
    </row>
    <row r="140" spans="1:11">
      <c r="A140" s="191" t="s">
        <v>1013</v>
      </c>
      <c r="B140" s="182">
        <v>179</v>
      </c>
      <c r="C140" s="182">
        <v>50</v>
      </c>
      <c r="D140" s="182">
        <v>21</v>
      </c>
      <c r="E140" s="182">
        <v>76</v>
      </c>
      <c r="F140" s="182">
        <v>193</v>
      </c>
      <c r="G140" s="182">
        <v>133</v>
      </c>
      <c r="H140" s="166"/>
      <c r="I140" s="187">
        <f>SUM(B140:E140)/F140</f>
        <v>1.689119170984456</v>
      </c>
      <c r="J140" s="188">
        <f>(G140/SUM(B140:E140))*100</f>
        <v>40.797546012269933</v>
      </c>
      <c r="K140" s="272">
        <f>(F140/SUM(B140:E140))*100</f>
        <v>59.202453987730067</v>
      </c>
    </row>
    <row r="141" spans="1:11">
      <c r="A141" s="191" t="s">
        <v>864</v>
      </c>
      <c r="B141" s="182">
        <v>283</v>
      </c>
      <c r="C141" s="182">
        <v>133</v>
      </c>
      <c r="D141" s="182">
        <v>55</v>
      </c>
      <c r="E141" s="182">
        <v>5</v>
      </c>
      <c r="F141" s="182">
        <v>286</v>
      </c>
      <c r="G141" s="182">
        <v>190</v>
      </c>
      <c r="H141" s="166"/>
      <c r="I141" s="187">
        <f>SUM(B141:E141)/F141</f>
        <v>1.6643356643356644</v>
      </c>
      <c r="J141" s="188">
        <f>(G141/SUM(B141:E141))*100</f>
        <v>39.915966386554622</v>
      </c>
      <c r="K141" s="272">
        <f>(F141/SUM(B141:E141))*100</f>
        <v>60.084033613445378</v>
      </c>
    </row>
    <row r="142" spans="1:11">
      <c r="A142" s="197"/>
      <c r="B142" s="198"/>
      <c r="C142" s="198"/>
      <c r="D142" s="198"/>
      <c r="E142" s="198"/>
      <c r="F142" s="198"/>
      <c r="G142" s="199"/>
      <c r="H142" s="171"/>
      <c r="I142" s="218"/>
      <c r="J142" s="218"/>
      <c r="K142" s="218"/>
    </row>
    <row r="143" spans="1:11">
      <c r="A143" s="461" t="s">
        <v>1014</v>
      </c>
      <c r="B143" s="461"/>
      <c r="C143" s="461"/>
      <c r="D143" s="461"/>
      <c r="E143" s="461"/>
      <c r="F143" s="461"/>
      <c r="G143" s="461"/>
      <c r="H143" s="461"/>
      <c r="I143" s="461"/>
      <c r="J143" s="461"/>
      <c r="K143" s="461"/>
    </row>
    <row r="144" spans="1:11">
      <c r="A144" s="39" t="s">
        <v>1072</v>
      </c>
      <c r="B144" s="156"/>
      <c r="C144" s="156"/>
      <c r="D144" s="156"/>
      <c r="E144" s="156"/>
      <c r="F144" s="156"/>
      <c r="G144" s="156"/>
    </row>
  </sheetData>
  <sheetProtection selectLockedCells="1" selectUnlockedCells="1"/>
  <mergeCells count="4">
    <mergeCell ref="A3:K3"/>
    <mergeCell ref="B5:G5"/>
    <mergeCell ref="I5:K5"/>
    <mergeCell ref="A143:K143"/>
  </mergeCells>
  <phoneticPr fontId="0" type="noConversion"/>
  <dataValidations count="2">
    <dataValidation type="whole" operator="equal" allowBlank="1" showErrorMessage="1" errorTitle="Estimado Shrek:" error="El balance en materia laboral no es correcto." sqref="B130 B82">
      <formula1>(#REF!+#REF!+#REF!)-#REF!</formula1>
    </dataValidation>
    <dataValidation type="whole" operator="equal" allowBlank="1" showErrorMessage="1" errorTitle="Estimado Shrek:" error="El balance en materia laboral no es correcto." sqref="G130 G82">
      <formula1>(A82+B82+C82)-E82</formula1>
    </dataValidation>
  </dataValidations>
  <printOptions horizontalCentered="1" verticalCentered="1"/>
  <pageMargins left="0" right="0" top="0" bottom="0" header="0.51180555555555551" footer="0.51180555555555551"/>
  <pageSetup scale="32" firstPageNumber="0" orientation="portrait" horizontalDpi="300" verticalDpi="300"/>
  <headerFooter alignWithMargins="0"/>
  <rowBreaks count="1" manualBreakCount="1">
    <brk id="81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B0F0"/>
  </sheetPr>
  <dimension ref="A1:K109"/>
  <sheetViews>
    <sheetView zoomScale="85" zoomScaleNormal="85" workbookViewId="0">
      <selection activeCell="A3" sqref="A3:K3"/>
    </sheetView>
  </sheetViews>
  <sheetFormatPr baseColWidth="10" defaultColWidth="11.44140625" defaultRowHeight="21"/>
  <cols>
    <col min="1" max="1" width="103.33203125" style="285" customWidth="1"/>
    <col min="2" max="2" width="17.6640625" style="285" customWidth="1"/>
    <col min="3" max="3" width="16.109375" style="285" customWidth="1"/>
    <col min="4" max="4" width="18" style="285" customWidth="1"/>
    <col min="5" max="5" width="19.44140625" style="285" customWidth="1"/>
    <col min="6" max="6" width="19" style="285" customWidth="1"/>
    <col min="7" max="7" width="17.88671875" style="285" customWidth="1"/>
    <col min="8" max="8" width="5.6640625" style="286" customWidth="1"/>
    <col min="9" max="11" width="18.6640625" style="286" customWidth="1"/>
    <col min="12" max="16384" width="11.44140625" style="286"/>
  </cols>
  <sheetData>
    <row r="1" spans="1:11">
      <c r="A1" s="287" t="s">
        <v>724</v>
      </c>
      <c r="B1" s="288"/>
      <c r="C1" s="288"/>
      <c r="D1" s="288"/>
      <c r="E1" s="288"/>
      <c r="F1" s="288"/>
      <c r="G1" s="288"/>
      <c r="I1" s="439"/>
      <c r="J1" s="439"/>
    </row>
    <row r="2" spans="1:11">
      <c r="A2" s="289"/>
      <c r="B2" s="289"/>
      <c r="C2" s="289"/>
      <c r="D2" s="289"/>
      <c r="E2" s="289"/>
      <c r="F2" s="289"/>
      <c r="G2" s="289"/>
    </row>
    <row r="3" spans="1:11">
      <c r="A3" s="457" t="s">
        <v>1065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</row>
    <row r="4" spans="1:11">
      <c r="A4" s="157"/>
      <c r="B4" s="157"/>
      <c r="C4" s="157"/>
      <c r="D4" s="157"/>
      <c r="E4" s="157"/>
      <c r="F4" s="157"/>
      <c r="G4" s="157"/>
      <c r="H4" s="290"/>
      <c r="I4" s="290"/>
      <c r="J4" s="290"/>
      <c r="K4" s="290"/>
    </row>
    <row r="5" spans="1:11" ht="20.25" customHeight="1">
      <c r="A5" s="291"/>
      <c r="B5" s="458" t="s">
        <v>535</v>
      </c>
      <c r="C5" s="458"/>
      <c r="D5" s="458"/>
      <c r="E5" s="458"/>
      <c r="F5" s="458"/>
      <c r="G5" s="458"/>
      <c r="H5" s="292"/>
      <c r="I5" s="462" t="s">
        <v>536</v>
      </c>
      <c r="J5" s="462"/>
      <c r="K5" s="462"/>
    </row>
    <row r="6" spans="1:11">
      <c r="A6" s="186" t="s">
        <v>725</v>
      </c>
      <c r="B6" s="186" t="s">
        <v>538</v>
      </c>
      <c r="C6" s="186" t="s">
        <v>539</v>
      </c>
      <c r="D6" s="186" t="s">
        <v>539</v>
      </c>
      <c r="E6" s="186" t="s">
        <v>153</v>
      </c>
      <c r="F6" s="186" t="s">
        <v>539</v>
      </c>
      <c r="G6" s="163" t="s">
        <v>538</v>
      </c>
      <c r="H6" s="293"/>
      <c r="I6" s="294" t="s">
        <v>541</v>
      </c>
      <c r="J6" s="295" t="s">
        <v>542</v>
      </c>
      <c r="K6" s="296" t="s">
        <v>542</v>
      </c>
    </row>
    <row r="7" spans="1:11">
      <c r="A7" s="297"/>
      <c r="B7" s="410">
        <v>42370</v>
      </c>
      <c r="C7" s="411" t="s">
        <v>543</v>
      </c>
      <c r="D7" s="411" t="s">
        <v>544</v>
      </c>
      <c r="E7" s="411" t="s">
        <v>154</v>
      </c>
      <c r="F7" s="411" t="s">
        <v>545</v>
      </c>
      <c r="G7" s="412">
        <v>42735</v>
      </c>
      <c r="H7" s="299"/>
      <c r="I7" s="300" t="s">
        <v>547</v>
      </c>
      <c r="J7" s="301" t="s">
        <v>548</v>
      </c>
      <c r="K7" s="302" t="s">
        <v>549</v>
      </c>
    </row>
    <row r="8" spans="1:11">
      <c r="A8" s="303"/>
      <c r="B8" s="304"/>
      <c r="C8" s="304"/>
      <c r="D8" s="304"/>
      <c r="E8" s="304"/>
      <c r="F8" s="304"/>
      <c r="G8" s="305"/>
      <c r="H8" s="292"/>
      <c r="I8" s="306"/>
      <c r="J8" s="292"/>
      <c r="K8" s="307"/>
    </row>
    <row r="9" spans="1:11" ht="20.25" customHeight="1">
      <c r="A9" s="308" t="s">
        <v>868</v>
      </c>
      <c r="B9" s="309">
        <f t="shared" ref="B9:G9" si="0">SUM(B11,B25,B29,B35,B40,B48,B53,B61,B68,B73,B78,B85,B90,B99,B104)</f>
        <v>45830</v>
      </c>
      <c r="C9" s="309">
        <f t="shared" si="0"/>
        <v>167252</v>
      </c>
      <c r="D9" s="309">
        <f t="shared" si="0"/>
        <v>11157</v>
      </c>
      <c r="E9" s="309">
        <f t="shared" si="0"/>
        <v>715</v>
      </c>
      <c r="F9" s="309">
        <f t="shared" si="0"/>
        <v>177324</v>
      </c>
      <c r="G9" s="309">
        <f t="shared" si="0"/>
        <v>47630</v>
      </c>
      <c r="H9" s="151"/>
      <c r="I9" s="310">
        <f>SUM(B9:E9)/F9</f>
        <v>1.2686043626356274</v>
      </c>
      <c r="J9" s="311">
        <f>(G9/SUM(B9:E9))*100</f>
        <v>21.1732176356055</v>
      </c>
      <c r="K9" s="312">
        <f>(F9/SUM(B9:E9))*100</f>
        <v>78.826782364394504</v>
      </c>
    </row>
    <row r="10" spans="1:11" ht="20.25" customHeight="1">
      <c r="A10" s="313"/>
      <c r="B10" s="314"/>
      <c r="C10" s="315"/>
      <c r="D10" s="314"/>
      <c r="E10" s="315"/>
      <c r="F10" s="314"/>
      <c r="G10" s="315"/>
      <c r="H10" s="151"/>
      <c r="I10" s="316"/>
      <c r="J10" s="317"/>
      <c r="K10" s="318"/>
    </row>
    <row r="11" spans="1:11" ht="20.25" customHeight="1">
      <c r="A11" s="319" t="s">
        <v>726</v>
      </c>
      <c r="B11" s="309">
        <f t="shared" ref="B11:G11" si="1">SUM(B12:B23)</f>
        <v>8023</v>
      </c>
      <c r="C11" s="309">
        <f t="shared" si="1"/>
        <v>23093</v>
      </c>
      <c r="D11" s="309">
        <f t="shared" si="1"/>
        <v>2233</v>
      </c>
      <c r="E11" s="309">
        <f t="shared" si="1"/>
        <v>249</v>
      </c>
      <c r="F11" s="309">
        <f t="shared" si="1"/>
        <v>25322</v>
      </c>
      <c r="G11" s="309">
        <f t="shared" si="1"/>
        <v>8276</v>
      </c>
      <c r="H11" s="151"/>
      <c r="I11" s="310">
        <f t="shared" ref="I11:I22" si="2">SUM(B11:E11)/F11</f>
        <v>1.3268304241371141</v>
      </c>
      <c r="J11" s="311">
        <f t="shared" ref="J11:J22" si="3">(G11/SUM(B11:E11))*100</f>
        <v>24.632418596345023</v>
      </c>
      <c r="K11" s="312">
        <f t="shared" ref="K11:K22" si="4">(F11/SUM(B11:E11))*100</f>
        <v>75.367581403654981</v>
      </c>
    </row>
    <row r="12" spans="1:11" ht="20.25" customHeight="1">
      <c r="A12" s="323" t="s">
        <v>727</v>
      </c>
      <c r="B12" s="151">
        <v>1191</v>
      </c>
      <c r="C12" s="151">
        <v>9297</v>
      </c>
      <c r="D12" s="151">
        <v>883</v>
      </c>
      <c r="E12" s="151">
        <v>21</v>
      </c>
      <c r="F12" s="151">
        <v>9639</v>
      </c>
      <c r="G12" s="151">
        <v>1753</v>
      </c>
      <c r="H12" s="151"/>
      <c r="I12" s="316">
        <f t="shared" si="2"/>
        <v>1.1818653387280837</v>
      </c>
      <c r="J12" s="317">
        <f t="shared" si="3"/>
        <v>15.387991573033707</v>
      </c>
      <c r="K12" s="318">
        <f t="shared" si="4"/>
        <v>84.612008426966284</v>
      </c>
    </row>
    <row r="13" spans="1:11" ht="20.25" customHeight="1">
      <c r="A13" s="323" t="s">
        <v>469</v>
      </c>
      <c r="B13" s="151">
        <v>1884</v>
      </c>
      <c r="C13" s="151">
        <v>3800</v>
      </c>
      <c r="D13" s="151">
        <v>570</v>
      </c>
      <c r="E13" s="151">
        <v>41</v>
      </c>
      <c r="F13" s="151">
        <v>4468</v>
      </c>
      <c r="G13" s="151">
        <v>1827</v>
      </c>
      <c r="H13" s="151"/>
      <c r="I13" s="316">
        <f t="shared" si="2"/>
        <v>1.4089077887197852</v>
      </c>
      <c r="J13" s="317">
        <f t="shared" si="3"/>
        <v>29.023034154090549</v>
      </c>
      <c r="K13" s="318">
        <f t="shared" si="4"/>
        <v>70.976965845909461</v>
      </c>
    </row>
    <row r="14" spans="1:11" ht="20.25" customHeight="1">
      <c r="A14" s="323" t="s">
        <v>728</v>
      </c>
      <c r="B14" s="151">
        <v>2069</v>
      </c>
      <c r="C14" s="151">
        <v>3601</v>
      </c>
      <c r="D14" s="151">
        <v>400</v>
      </c>
      <c r="E14" s="151">
        <v>10</v>
      </c>
      <c r="F14" s="151">
        <v>4044</v>
      </c>
      <c r="G14" s="151">
        <v>2036</v>
      </c>
      <c r="H14" s="151"/>
      <c r="I14" s="316">
        <f t="shared" si="2"/>
        <v>1.5034619188921861</v>
      </c>
      <c r="J14" s="317">
        <f t="shared" si="3"/>
        <v>33.486842105263158</v>
      </c>
      <c r="K14" s="318">
        <f t="shared" si="4"/>
        <v>66.513157894736835</v>
      </c>
    </row>
    <row r="15" spans="1:11" ht="20.25" customHeight="1">
      <c r="A15" s="323" t="s">
        <v>435</v>
      </c>
      <c r="B15" s="151">
        <v>103</v>
      </c>
      <c r="C15" s="151">
        <v>151</v>
      </c>
      <c r="D15" s="151">
        <v>10</v>
      </c>
      <c r="E15" s="151">
        <v>1</v>
      </c>
      <c r="F15" s="151">
        <v>196</v>
      </c>
      <c r="G15" s="151">
        <v>69</v>
      </c>
      <c r="H15" s="151"/>
      <c r="I15" s="316">
        <f t="shared" si="2"/>
        <v>1.3520408163265305</v>
      </c>
      <c r="J15" s="317">
        <f t="shared" si="3"/>
        <v>26.037735849056602</v>
      </c>
      <c r="K15" s="318">
        <f t="shared" si="4"/>
        <v>73.962264150943398</v>
      </c>
    </row>
    <row r="16" spans="1:11" ht="20.25" customHeight="1">
      <c r="A16" s="323" t="s">
        <v>436</v>
      </c>
      <c r="B16" s="151">
        <v>166</v>
      </c>
      <c r="C16" s="151">
        <v>171</v>
      </c>
      <c r="D16" s="151">
        <v>12</v>
      </c>
      <c r="E16" s="151">
        <v>6</v>
      </c>
      <c r="F16" s="151">
        <v>154</v>
      </c>
      <c r="G16" s="151">
        <v>201</v>
      </c>
      <c r="H16" s="151"/>
      <c r="I16" s="316">
        <f t="shared" si="2"/>
        <v>2.3051948051948052</v>
      </c>
      <c r="J16" s="317">
        <f t="shared" si="3"/>
        <v>56.619718309859159</v>
      </c>
      <c r="K16" s="318">
        <f t="shared" si="4"/>
        <v>43.380281690140841</v>
      </c>
    </row>
    <row r="17" spans="1:11" ht="20.25" customHeight="1">
      <c r="A17" s="323" t="s">
        <v>437</v>
      </c>
      <c r="B17" s="151">
        <v>144</v>
      </c>
      <c r="C17" s="151">
        <v>76</v>
      </c>
      <c r="D17" s="151">
        <v>6</v>
      </c>
      <c r="E17" s="151">
        <v>0</v>
      </c>
      <c r="F17" s="151">
        <v>101</v>
      </c>
      <c r="G17" s="151">
        <v>125</v>
      </c>
      <c r="H17" s="151"/>
      <c r="I17" s="316">
        <f t="shared" si="2"/>
        <v>2.2376237623762378</v>
      </c>
      <c r="J17" s="317">
        <f t="shared" si="3"/>
        <v>55.309734513274336</v>
      </c>
      <c r="K17" s="318">
        <f t="shared" si="4"/>
        <v>44.690265486725664</v>
      </c>
    </row>
    <row r="18" spans="1:11" ht="20.25" customHeight="1">
      <c r="A18" s="323" t="s">
        <v>438</v>
      </c>
      <c r="B18" s="151">
        <v>75</v>
      </c>
      <c r="C18" s="151">
        <v>1713</v>
      </c>
      <c r="D18" s="151">
        <v>22</v>
      </c>
      <c r="E18" s="151">
        <v>1</v>
      </c>
      <c r="F18" s="151">
        <v>1733</v>
      </c>
      <c r="G18" s="151">
        <v>78</v>
      </c>
      <c r="H18" s="151"/>
      <c r="I18" s="316">
        <f t="shared" si="2"/>
        <v>1.0450086555106752</v>
      </c>
      <c r="J18" s="317">
        <f t="shared" si="3"/>
        <v>4.3070127001656546</v>
      </c>
      <c r="K18" s="318">
        <f t="shared" si="4"/>
        <v>95.692987299834343</v>
      </c>
    </row>
    <row r="19" spans="1:11" ht="20.25" customHeight="1">
      <c r="A19" s="323" t="s">
        <v>439</v>
      </c>
      <c r="B19" s="151">
        <v>1334</v>
      </c>
      <c r="C19" s="151">
        <v>2360</v>
      </c>
      <c r="D19" s="151">
        <v>95</v>
      </c>
      <c r="E19" s="151">
        <v>159</v>
      </c>
      <c r="F19" s="151">
        <v>2634</v>
      </c>
      <c r="G19" s="151">
        <v>1314</v>
      </c>
      <c r="H19" s="151"/>
      <c r="I19" s="316">
        <f t="shared" si="2"/>
        <v>1.4988610478359909</v>
      </c>
      <c r="J19" s="317">
        <f t="shared" si="3"/>
        <v>33.282674772036472</v>
      </c>
      <c r="K19" s="318">
        <f t="shared" si="4"/>
        <v>66.717325227963528</v>
      </c>
    </row>
    <row r="20" spans="1:11" ht="20.25" customHeight="1">
      <c r="A20" s="323" t="s">
        <v>440</v>
      </c>
      <c r="B20" s="151">
        <v>513</v>
      </c>
      <c r="C20" s="151">
        <v>586</v>
      </c>
      <c r="D20" s="151">
        <v>48</v>
      </c>
      <c r="E20" s="151">
        <v>2</v>
      </c>
      <c r="F20" s="151">
        <v>829</v>
      </c>
      <c r="G20" s="151">
        <v>320</v>
      </c>
      <c r="H20" s="151"/>
      <c r="I20" s="316">
        <f t="shared" si="2"/>
        <v>1.3860072376357058</v>
      </c>
      <c r="J20" s="317">
        <f t="shared" si="3"/>
        <v>27.850304612706701</v>
      </c>
      <c r="K20" s="318">
        <f t="shared" si="4"/>
        <v>72.149695387293306</v>
      </c>
    </row>
    <row r="21" spans="1:11" ht="20.25" customHeight="1">
      <c r="A21" s="323" t="s">
        <v>729</v>
      </c>
      <c r="B21" s="151">
        <v>82</v>
      </c>
      <c r="C21" s="151">
        <v>37</v>
      </c>
      <c r="D21" s="151">
        <v>7</v>
      </c>
      <c r="E21" s="151">
        <v>0</v>
      </c>
      <c r="F21" s="151">
        <v>67</v>
      </c>
      <c r="G21" s="151">
        <v>59</v>
      </c>
      <c r="H21" s="151"/>
      <c r="I21" s="316">
        <f t="shared" si="2"/>
        <v>1.8805970149253732</v>
      </c>
      <c r="J21" s="317">
        <f t="shared" si="3"/>
        <v>46.825396825396822</v>
      </c>
      <c r="K21" s="318">
        <f t="shared" si="4"/>
        <v>53.174603174603178</v>
      </c>
    </row>
    <row r="22" spans="1:11" ht="20.25" customHeight="1">
      <c r="A22" s="323" t="s">
        <v>121</v>
      </c>
      <c r="B22" s="151">
        <v>31</v>
      </c>
      <c r="C22" s="151">
        <v>39</v>
      </c>
      <c r="D22" s="151">
        <v>0</v>
      </c>
      <c r="E22" s="151">
        <v>1</v>
      </c>
      <c r="F22" s="151">
        <v>41</v>
      </c>
      <c r="G22" s="151">
        <v>30</v>
      </c>
      <c r="H22" s="151"/>
      <c r="I22" s="316">
        <f t="shared" si="2"/>
        <v>1.7317073170731707</v>
      </c>
      <c r="J22" s="317">
        <f t="shared" si="3"/>
        <v>42.25352112676056</v>
      </c>
      <c r="K22" s="318">
        <f t="shared" si="4"/>
        <v>57.74647887323944</v>
      </c>
    </row>
    <row r="23" spans="1:11" ht="20.25" customHeight="1">
      <c r="A23" s="323" t="s">
        <v>730</v>
      </c>
      <c r="B23" s="151">
        <v>431</v>
      </c>
      <c r="C23" s="151">
        <v>1262</v>
      </c>
      <c r="D23" s="151">
        <v>180</v>
      </c>
      <c r="E23" s="151">
        <v>7</v>
      </c>
      <c r="F23" s="151">
        <v>1416</v>
      </c>
      <c r="G23" s="151">
        <v>464</v>
      </c>
      <c r="H23" s="151"/>
      <c r="I23" s="316"/>
      <c r="J23" s="317"/>
      <c r="K23" s="318"/>
    </row>
    <row r="24" spans="1:11" ht="20.25" customHeight="1">
      <c r="A24" s="322"/>
      <c r="B24" s="151"/>
      <c r="C24" s="151"/>
      <c r="D24" s="151"/>
      <c r="E24" s="151"/>
      <c r="F24" s="151"/>
      <c r="G24" s="151"/>
      <c r="H24" s="151"/>
      <c r="I24" s="316"/>
      <c r="J24" s="317"/>
      <c r="K24" s="318"/>
    </row>
    <row r="25" spans="1:11" s="404" customFormat="1" ht="20.25" customHeight="1">
      <c r="A25" s="319" t="s">
        <v>731</v>
      </c>
      <c r="B25" s="403">
        <f t="shared" ref="B25:G25" si="5">SUM(B26:B27)</f>
        <v>3527</v>
      </c>
      <c r="C25" s="403">
        <f t="shared" si="5"/>
        <v>13044</v>
      </c>
      <c r="D25" s="403">
        <f t="shared" si="5"/>
        <v>811</v>
      </c>
      <c r="E25" s="403">
        <f t="shared" si="5"/>
        <v>40</v>
      </c>
      <c r="F25" s="403">
        <f t="shared" si="5"/>
        <v>14090</v>
      </c>
      <c r="G25" s="403">
        <f t="shared" si="5"/>
        <v>3332</v>
      </c>
      <c r="H25" s="403"/>
      <c r="I25" s="310">
        <f>SUM(B25:E25)/F25</f>
        <v>1.2364797728885735</v>
      </c>
      <c r="J25" s="311">
        <f>(G25/SUM(B25:E25))*100</f>
        <v>19.125243944438068</v>
      </c>
      <c r="K25" s="312">
        <f>(F25/SUM(B25:E25))*100</f>
        <v>80.874756055561932</v>
      </c>
    </row>
    <row r="26" spans="1:11" ht="20.25" customHeight="1">
      <c r="A26" s="323" t="s">
        <v>732</v>
      </c>
      <c r="B26" s="151">
        <v>3475</v>
      </c>
      <c r="C26" s="151">
        <v>12172</v>
      </c>
      <c r="D26" s="151">
        <v>775</v>
      </c>
      <c r="E26" s="151">
        <v>40</v>
      </c>
      <c r="F26" s="151">
        <v>13215</v>
      </c>
      <c r="G26" s="151">
        <v>3247</v>
      </c>
      <c r="H26" s="151"/>
      <c r="I26" s="316">
        <f>SUM(B26:E26)/F26</f>
        <v>1.2457056375331064</v>
      </c>
      <c r="J26" s="317">
        <f>(G26/SUM(B26:E26))*100</f>
        <v>19.724213339812902</v>
      </c>
      <c r="K26" s="318">
        <f>(F26/SUM(B26:E26))*100</f>
        <v>80.275786660187094</v>
      </c>
    </row>
    <row r="27" spans="1:11" ht="20.25" customHeight="1">
      <c r="A27" s="323" t="s">
        <v>733</v>
      </c>
      <c r="B27" s="151">
        <v>52</v>
      </c>
      <c r="C27" s="151">
        <v>872</v>
      </c>
      <c r="D27" s="151">
        <v>36</v>
      </c>
      <c r="E27" s="151">
        <v>0</v>
      </c>
      <c r="F27" s="151">
        <v>875</v>
      </c>
      <c r="G27" s="151">
        <v>85</v>
      </c>
      <c r="H27" s="151"/>
      <c r="I27" s="316">
        <f>SUM(B27:E27)/F27</f>
        <v>1.0971428571428572</v>
      </c>
      <c r="J27" s="317">
        <f>(G27/SUM(B27:E27))*100</f>
        <v>8.8541666666666679</v>
      </c>
      <c r="K27" s="318">
        <f>(F27/SUM(B27:E27))*100</f>
        <v>91.145833333333343</v>
      </c>
    </row>
    <row r="28" spans="1:11" ht="20.25" customHeight="1">
      <c r="A28" s="320"/>
      <c r="B28" s="151"/>
      <c r="C28" s="151"/>
      <c r="D28" s="151"/>
      <c r="E28" s="151"/>
      <c r="F28" s="151"/>
      <c r="G28" s="151"/>
      <c r="H28" s="151"/>
      <c r="I28" s="316"/>
      <c r="J28" s="317"/>
      <c r="K28" s="318"/>
    </row>
    <row r="29" spans="1:11" s="404" customFormat="1" ht="20.25" customHeight="1">
      <c r="A29" s="319" t="s">
        <v>734</v>
      </c>
      <c r="B29" s="403">
        <f t="shared" ref="B29:G29" si="6">SUM(B30:B33)</f>
        <v>4949</v>
      </c>
      <c r="C29" s="403">
        <f t="shared" si="6"/>
        <v>12600</v>
      </c>
      <c r="D29" s="403">
        <f t="shared" si="6"/>
        <v>1267</v>
      </c>
      <c r="E29" s="403">
        <f t="shared" si="6"/>
        <v>52</v>
      </c>
      <c r="F29" s="403">
        <f t="shared" si="6"/>
        <v>13223</v>
      </c>
      <c r="G29" s="403">
        <f t="shared" si="6"/>
        <v>5645</v>
      </c>
      <c r="H29" s="403"/>
      <c r="I29" s="310">
        <f>SUM(B29:E29)/F29</f>
        <v>1.4269076608938971</v>
      </c>
      <c r="J29" s="311">
        <f>(G29/SUM(B29:E29))*100</f>
        <v>29.918380326478694</v>
      </c>
      <c r="K29" s="312">
        <f>(F29/SUM(B29:E29))*100</f>
        <v>70.081619673521303</v>
      </c>
    </row>
    <row r="30" spans="1:11" ht="20.25" customHeight="1">
      <c r="A30" s="321" t="s">
        <v>735</v>
      </c>
      <c r="B30" s="151">
        <v>1185</v>
      </c>
      <c r="C30" s="151">
        <v>3397</v>
      </c>
      <c r="D30" s="151">
        <v>322</v>
      </c>
      <c r="E30" s="151">
        <v>6</v>
      </c>
      <c r="F30" s="151">
        <v>3756</v>
      </c>
      <c r="G30" s="151">
        <v>1154</v>
      </c>
      <c r="H30" s="151"/>
      <c r="I30" s="316">
        <f>SUM(B30:E30)/F30</f>
        <v>1.307241746538871</v>
      </c>
      <c r="J30" s="317">
        <f>(G30/SUM(B30:E30))*100</f>
        <v>23.5030549898167</v>
      </c>
      <c r="K30" s="318">
        <f>(F30/SUM(B30:E30))*100</f>
        <v>76.49694501018331</v>
      </c>
    </row>
    <row r="31" spans="1:11" ht="20.25" customHeight="1">
      <c r="A31" s="321" t="s">
        <v>736</v>
      </c>
      <c r="B31" s="151">
        <v>1265</v>
      </c>
      <c r="C31" s="151">
        <v>4893</v>
      </c>
      <c r="D31" s="151">
        <v>335</v>
      </c>
      <c r="E31" s="151">
        <v>15</v>
      </c>
      <c r="F31" s="151">
        <v>4967</v>
      </c>
      <c r="G31" s="151">
        <v>1541</v>
      </c>
      <c r="H31" s="151"/>
      <c r="I31" s="316">
        <f>SUM(B31:E31)/F31</f>
        <v>1.3102476343869538</v>
      </c>
      <c r="J31" s="317">
        <f>(G31/SUM(B31:E31))*100</f>
        <v>23.678549477566072</v>
      </c>
      <c r="K31" s="318">
        <f>(F31/SUM(B31:E31))*100</f>
        <v>76.321450522433935</v>
      </c>
    </row>
    <row r="32" spans="1:11" ht="20.25" customHeight="1">
      <c r="A32" s="321" t="s">
        <v>737</v>
      </c>
      <c r="B32" s="151">
        <v>2124</v>
      </c>
      <c r="C32" s="151">
        <v>3590</v>
      </c>
      <c r="D32" s="151">
        <v>571</v>
      </c>
      <c r="E32" s="151">
        <v>23</v>
      </c>
      <c r="F32" s="151">
        <v>3714</v>
      </c>
      <c r="G32" s="151">
        <v>2594</v>
      </c>
      <c r="H32" s="151"/>
      <c r="I32" s="316">
        <f>SUM(B32:E32)/F32</f>
        <v>1.6984383414108777</v>
      </c>
      <c r="J32" s="317">
        <f>(G32/SUM(B32:E32))*100</f>
        <v>41.122384273937854</v>
      </c>
      <c r="K32" s="318">
        <f>(F32/SUM(B32:E32))*100</f>
        <v>58.877615726062139</v>
      </c>
    </row>
    <row r="33" spans="1:11" ht="20.25" customHeight="1">
      <c r="A33" s="321" t="s">
        <v>738</v>
      </c>
      <c r="B33" s="151">
        <v>375</v>
      </c>
      <c r="C33" s="151">
        <v>720</v>
      </c>
      <c r="D33" s="151">
        <v>39</v>
      </c>
      <c r="E33" s="151">
        <v>8</v>
      </c>
      <c r="F33" s="151">
        <v>786</v>
      </c>
      <c r="G33" s="151">
        <v>356</v>
      </c>
      <c r="H33" s="151"/>
      <c r="I33" s="316">
        <f>SUM(B33:E33)/F33</f>
        <v>1.4529262086513994</v>
      </c>
      <c r="J33" s="317">
        <f>(G33/SUM(B33:E33))*100</f>
        <v>31.17338003502627</v>
      </c>
      <c r="K33" s="318">
        <f>(F33/SUM(B33:E33))*100</f>
        <v>68.82661996497373</v>
      </c>
    </row>
    <row r="34" spans="1:11" ht="20.25" customHeight="1">
      <c r="A34" s="321"/>
      <c r="B34" s="151"/>
      <c r="C34" s="151"/>
      <c r="D34" s="151"/>
      <c r="E34" s="151"/>
      <c r="F34" s="151"/>
      <c r="G34" s="151"/>
      <c r="H34" s="151"/>
      <c r="I34" s="316"/>
      <c r="J34" s="317"/>
      <c r="K34" s="318"/>
    </row>
    <row r="35" spans="1:11" s="404" customFormat="1" ht="20.25" customHeight="1">
      <c r="A35" s="319" t="s">
        <v>739</v>
      </c>
      <c r="B35" s="403">
        <f t="shared" ref="B35:G35" si="7">SUM(B36:B38)</f>
        <v>2211</v>
      </c>
      <c r="C35" s="403">
        <f t="shared" si="7"/>
        <v>14628</v>
      </c>
      <c r="D35" s="403">
        <f t="shared" si="7"/>
        <v>700</v>
      </c>
      <c r="E35" s="403">
        <f t="shared" si="7"/>
        <v>23</v>
      </c>
      <c r="F35" s="403">
        <f t="shared" si="7"/>
        <v>15332</v>
      </c>
      <c r="G35" s="403">
        <f t="shared" si="7"/>
        <v>2230</v>
      </c>
      <c r="H35" s="403"/>
      <c r="I35" s="310">
        <f>SUM(B35:E35)/F35</f>
        <v>1.1454474302113227</v>
      </c>
      <c r="J35" s="311">
        <f>(G35/SUM(B35:E35))*100</f>
        <v>12.697870402004327</v>
      </c>
      <c r="K35" s="312">
        <f>(F35/SUM(B35:E35))*100</f>
        <v>87.302129597995673</v>
      </c>
    </row>
    <row r="36" spans="1:11" ht="20.25" customHeight="1">
      <c r="A36" s="323" t="s">
        <v>740</v>
      </c>
      <c r="B36" s="151">
        <v>1933</v>
      </c>
      <c r="C36" s="151">
        <v>12492</v>
      </c>
      <c r="D36" s="151">
        <v>633</v>
      </c>
      <c r="E36" s="151">
        <v>21</v>
      </c>
      <c r="F36" s="151">
        <v>13081</v>
      </c>
      <c r="G36" s="151">
        <v>1998</v>
      </c>
      <c r="H36" s="151"/>
      <c r="I36" s="316">
        <f>SUM(B36:E36)/F36</f>
        <v>1.152740616160844</v>
      </c>
      <c r="J36" s="317">
        <f>(G36/SUM(B36:E36))*100</f>
        <v>13.250215531533922</v>
      </c>
      <c r="K36" s="318">
        <f>(F36/SUM(B36:E36))*100</f>
        <v>86.749784468466075</v>
      </c>
    </row>
    <row r="37" spans="1:11" ht="20.25" customHeight="1">
      <c r="A37" s="323" t="s">
        <v>741</v>
      </c>
      <c r="B37" s="151">
        <v>2</v>
      </c>
      <c r="C37" s="151">
        <v>380</v>
      </c>
      <c r="D37" s="151">
        <v>11</v>
      </c>
      <c r="E37" s="151">
        <v>2</v>
      </c>
      <c r="F37" s="151">
        <v>387</v>
      </c>
      <c r="G37" s="151">
        <v>8</v>
      </c>
      <c r="H37" s="151"/>
      <c r="I37" s="316">
        <f>SUM(B37:E37)/F37</f>
        <v>1.020671834625323</v>
      </c>
      <c r="J37" s="317">
        <f>(G37/SUM(B37:E37))*100</f>
        <v>2.0253164556962027</v>
      </c>
      <c r="K37" s="318">
        <f>(F37/SUM(B37:E37))*100</f>
        <v>97.974683544303801</v>
      </c>
    </row>
    <row r="38" spans="1:11" ht="20.25" customHeight="1">
      <c r="A38" s="323" t="s">
        <v>742</v>
      </c>
      <c r="B38" s="151">
        <v>276</v>
      </c>
      <c r="C38" s="151">
        <v>1756</v>
      </c>
      <c r="D38" s="151">
        <v>56</v>
      </c>
      <c r="E38" s="151">
        <v>0</v>
      </c>
      <c r="F38" s="151">
        <v>1864</v>
      </c>
      <c r="G38" s="151">
        <v>224</v>
      </c>
      <c r="H38" s="151"/>
      <c r="I38" s="316">
        <f>SUM(B38:E38)/F38</f>
        <v>1.1201716738197425</v>
      </c>
      <c r="J38" s="317">
        <f>(G38/SUM(B38:E38))*100</f>
        <v>10.727969348659004</v>
      </c>
      <c r="K38" s="318">
        <f>(F38/SUM(B38:E38))*100</f>
        <v>89.272030651340998</v>
      </c>
    </row>
    <row r="39" spans="1:11" ht="20.25" customHeight="1">
      <c r="A39" s="323"/>
      <c r="B39" s="151"/>
      <c r="C39" s="151"/>
      <c r="D39" s="151"/>
      <c r="E39" s="151"/>
      <c r="F39" s="151"/>
      <c r="G39" s="151"/>
      <c r="H39" s="151"/>
      <c r="I39" s="316"/>
      <c r="J39" s="317"/>
      <c r="K39" s="318"/>
    </row>
    <row r="40" spans="1:11" s="404" customFormat="1" ht="20.25" customHeight="1">
      <c r="A40" s="319" t="s">
        <v>743</v>
      </c>
      <c r="B40" s="403">
        <f t="shared" ref="B40:G40" si="8">SUM(B41:B46)</f>
        <v>1981</v>
      </c>
      <c r="C40" s="403">
        <f t="shared" si="8"/>
        <v>9583</v>
      </c>
      <c r="D40" s="403">
        <f t="shared" si="8"/>
        <v>206</v>
      </c>
      <c r="E40" s="403">
        <f t="shared" si="8"/>
        <v>58</v>
      </c>
      <c r="F40" s="403">
        <f t="shared" si="8"/>
        <v>9383</v>
      </c>
      <c r="G40" s="403">
        <f t="shared" si="8"/>
        <v>2445</v>
      </c>
      <c r="H40" s="403"/>
      <c r="I40" s="310">
        <f t="shared" ref="I40:I46" si="9">SUM(B40:E40)/F40</f>
        <v>1.2605776404135138</v>
      </c>
      <c r="J40" s="311">
        <f t="shared" ref="J40:J46" si="10">(G40/SUM(B40:E40))*100</f>
        <v>20.671288468041933</v>
      </c>
      <c r="K40" s="312">
        <f t="shared" ref="K40:K46" si="11">(F40/SUM(B40:E40))*100</f>
        <v>79.328711531958064</v>
      </c>
    </row>
    <row r="41" spans="1:11" ht="20.25" customHeight="1">
      <c r="A41" s="323" t="s">
        <v>744</v>
      </c>
      <c r="B41" s="151">
        <v>1191</v>
      </c>
      <c r="C41" s="151">
        <v>4894</v>
      </c>
      <c r="D41" s="151">
        <v>114</v>
      </c>
      <c r="E41" s="151">
        <v>37</v>
      </c>
      <c r="F41" s="151">
        <v>4876</v>
      </c>
      <c r="G41" s="151">
        <v>1360</v>
      </c>
      <c r="H41" s="151"/>
      <c r="I41" s="316">
        <f t="shared" si="9"/>
        <v>1.2789171452009844</v>
      </c>
      <c r="J41" s="317">
        <f t="shared" si="10"/>
        <v>21.808851828094934</v>
      </c>
      <c r="K41" s="318">
        <f t="shared" si="11"/>
        <v>78.19114817190507</v>
      </c>
    </row>
    <row r="42" spans="1:11" ht="20.25" customHeight="1">
      <c r="A42" s="323" t="s">
        <v>745</v>
      </c>
      <c r="B42" s="151">
        <v>41</v>
      </c>
      <c r="C42" s="151">
        <v>616</v>
      </c>
      <c r="D42" s="151">
        <v>5</v>
      </c>
      <c r="E42" s="151">
        <v>3</v>
      </c>
      <c r="F42" s="151">
        <v>646</v>
      </c>
      <c r="G42" s="151">
        <v>19</v>
      </c>
      <c r="H42" s="151"/>
      <c r="I42" s="316">
        <f t="shared" si="9"/>
        <v>1.0294117647058822</v>
      </c>
      <c r="J42" s="317">
        <f t="shared" si="10"/>
        <v>2.8571428571428572</v>
      </c>
      <c r="K42" s="318">
        <f t="shared" si="11"/>
        <v>97.142857142857139</v>
      </c>
    </row>
    <row r="43" spans="1:11" ht="20.25" customHeight="1">
      <c r="A43" s="323" t="s">
        <v>441</v>
      </c>
      <c r="B43" s="151">
        <v>122</v>
      </c>
      <c r="C43" s="151">
        <v>1168</v>
      </c>
      <c r="D43" s="151">
        <v>21</v>
      </c>
      <c r="E43" s="151">
        <v>2</v>
      </c>
      <c r="F43" s="151">
        <v>1183</v>
      </c>
      <c r="G43" s="151">
        <v>130</v>
      </c>
      <c r="H43" s="151"/>
      <c r="I43" s="316">
        <f t="shared" si="9"/>
        <v>1.1098901098901099</v>
      </c>
      <c r="J43" s="317">
        <f t="shared" si="10"/>
        <v>9.9009900990099009</v>
      </c>
      <c r="K43" s="318">
        <f t="shared" si="11"/>
        <v>90.099009900990097</v>
      </c>
    </row>
    <row r="44" spans="1:11" ht="20.25" customHeight="1">
      <c r="A44" s="323" t="s">
        <v>746</v>
      </c>
      <c r="B44" s="151">
        <v>179</v>
      </c>
      <c r="C44" s="151">
        <v>1198</v>
      </c>
      <c r="D44" s="151">
        <v>17</v>
      </c>
      <c r="E44" s="151">
        <v>9</v>
      </c>
      <c r="F44" s="151">
        <v>1056</v>
      </c>
      <c r="G44" s="151">
        <v>347</v>
      </c>
      <c r="H44" s="151"/>
      <c r="I44" s="316">
        <f t="shared" si="9"/>
        <v>1.3285984848484849</v>
      </c>
      <c r="J44" s="317">
        <f t="shared" si="10"/>
        <v>24.732715609408409</v>
      </c>
      <c r="K44" s="318">
        <f t="shared" si="11"/>
        <v>75.267284390591598</v>
      </c>
    </row>
    <row r="45" spans="1:11" ht="20.25" customHeight="1">
      <c r="A45" s="323" t="s">
        <v>747</v>
      </c>
      <c r="B45" s="151">
        <v>155</v>
      </c>
      <c r="C45" s="151">
        <v>613</v>
      </c>
      <c r="D45" s="151">
        <v>14</v>
      </c>
      <c r="E45" s="151">
        <v>4</v>
      </c>
      <c r="F45" s="151">
        <v>627</v>
      </c>
      <c r="G45" s="151">
        <v>159</v>
      </c>
      <c r="H45" s="151"/>
      <c r="I45" s="316">
        <f t="shared" si="9"/>
        <v>1.2535885167464116</v>
      </c>
      <c r="J45" s="317">
        <f t="shared" si="10"/>
        <v>20.229007633587788</v>
      </c>
      <c r="K45" s="318">
        <f t="shared" si="11"/>
        <v>79.770992366412216</v>
      </c>
    </row>
    <row r="46" spans="1:11" ht="20.25" customHeight="1">
      <c r="A46" s="323" t="s">
        <v>748</v>
      </c>
      <c r="B46" s="151">
        <v>293</v>
      </c>
      <c r="C46" s="151">
        <v>1094</v>
      </c>
      <c r="D46" s="151">
        <v>35</v>
      </c>
      <c r="E46" s="151">
        <v>3</v>
      </c>
      <c r="F46" s="151">
        <v>995</v>
      </c>
      <c r="G46" s="151">
        <v>430</v>
      </c>
      <c r="H46" s="151"/>
      <c r="I46" s="316">
        <f t="shared" si="9"/>
        <v>1.4321608040201006</v>
      </c>
      <c r="J46" s="317">
        <f t="shared" si="10"/>
        <v>30.175438596491226</v>
      </c>
      <c r="K46" s="318">
        <f t="shared" si="11"/>
        <v>69.824561403508767</v>
      </c>
    </row>
    <row r="47" spans="1:11" ht="20.25" customHeight="1">
      <c r="A47" s="323"/>
      <c r="B47" s="151"/>
      <c r="C47" s="151"/>
      <c r="D47" s="151"/>
      <c r="E47" s="151"/>
      <c r="F47" s="151"/>
      <c r="G47" s="151"/>
      <c r="H47" s="324"/>
      <c r="I47" s="316"/>
      <c r="J47" s="317"/>
      <c r="K47" s="318"/>
    </row>
    <row r="48" spans="1:11" s="404" customFormat="1" ht="20.25" customHeight="1">
      <c r="A48" s="319" t="s">
        <v>749</v>
      </c>
      <c r="B48" s="403">
        <f t="shared" ref="B48:G48" si="12">SUM(B49:B51)</f>
        <v>1442</v>
      </c>
      <c r="C48" s="403">
        <f t="shared" si="12"/>
        <v>5762</v>
      </c>
      <c r="D48" s="403">
        <f t="shared" si="12"/>
        <v>362</v>
      </c>
      <c r="E48" s="403">
        <f t="shared" si="12"/>
        <v>7</v>
      </c>
      <c r="F48" s="403">
        <f t="shared" si="12"/>
        <v>6188</v>
      </c>
      <c r="G48" s="403">
        <f t="shared" si="12"/>
        <v>1385</v>
      </c>
      <c r="H48" s="405"/>
      <c r="I48" s="310">
        <f>SUM(B48:E48)/F48</f>
        <v>1.2238202973497092</v>
      </c>
      <c r="J48" s="311">
        <f>(G48/SUM(B48:E48))*100</f>
        <v>18.288657071173908</v>
      </c>
      <c r="K48" s="312">
        <f>(F48/SUM(B48:E48))*100</f>
        <v>81.711342928826099</v>
      </c>
    </row>
    <row r="49" spans="1:11" ht="20.25" customHeight="1">
      <c r="A49" s="323" t="s">
        <v>750</v>
      </c>
      <c r="B49" s="151">
        <v>720</v>
      </c>
      <c r="C49" s="151">
        <v>2732</v>
      </c>
      <c r="D49" s="151">
        <v>127</v>
      </c>
      <c r="E49" s="151">
        <v>4</v>
      </c>
      <c r="F49" s="151">
        <v>3050</v>
      </c>
      <c r="G49" s="151">
        <v>533</v>
      </c>
      <c r="H49" s="324"/>
      <c r="I49" s="316">
        <f>SUM(B49:E49)/F49</f>
        <v>1.1747540983606557</v>
      </c>
      <c r="J49" s="317">
        <f>(G49/SUM(B49:E49))*100</f>
        <v>14.875802400223275</v>
      </c>
      <c r="K49" s="318">
        <f>(F49/SUM(B49:E49))*100</f>
        <v>85.124197599776721</v>
      </c>
    </row>
    <row r="50" spans="1:11" ht="20.25" customHeight="1">
      <c r="A50" s="323" t="s">
        <v>751</v>
      </c>
      <c r="B50" s="151">
        <v>3</v>
      </c>
      <c r="C50" s="151">
        <v>366</v>
      </c>
      <c r="D50" s="151">
        <v>0</v>
      </c>
      <c r="E50" s="151">
        <v>1</v>
      </c>
      <c r="F50" s="151">
        <v>369</v>
      </c>
      <c r="G50" s="151">
        <v>1</v>
      </c>
      <c r="H50" s="324"/>
      <c r="I50" s="316">
        <f>SUM(B50:E50)/F50</f>
        <v>1.0027100271002709</v>
      </c>
      <c r="J50" s="317">
        <f>(G50/SUM(B50:E50))*100</f>
        <v>0.27027027027027029</v>
      </c>
      <c r="K50" s="318">
        <f>(F50/SUM(B50:E50))*100</f>
        <v>99.729729729729726</v>
      </c>
    </row>
    <row r="51" spans="1:11" ht="20.25" customHeight="1">
      <c r="A51" s="323" t="s">
        <v>752</v>
      </c>
      <c r="B51" s="151">
        <v>719</v>
      </c>
      <c r="C51" s="151">
        <v>2664</v>
      </c>
      <c r="D51" s="151">
        <v>235</v>
      </c>
      <c r="E51" s="151">
        <v>2</v>
      </c>
      <c r="F51" s="151">
        <v>2769</v>
      </c>
      <c r="G51" s="151">
        <v>851</v>
      </c>
      <c r="H51" s="324"/>
      <c r="I51" s="316">
        <f>SUM(B51:E51)/F51</f>
        <v>1.307331166486096</v>
      </c>
      <c r="J51" s="317">
        <f>(G51/SUM(B51:E51))*100</f>
        <v>23.508287292817677</v>
      </c>
      <c r="K51" s="318">
        <f>(F51/SUM(B51:E51))*100</f>
        <v>76.49171270718233</v>
      </c>
    </row>
    <row r="52" spans="1:11" ht="20.25" customHeight="1">
      <c r="A52" s="308"/>
      <c r="B52" s="151"/>
      <c r="C52" s="151"/>
      <c r="D52" s="151"/>
      <c r="E52" s="151"/>
      <c r="F52" s="151"/>
      <c r="G52" s="151"/>
      <c r="H52" s="324"/>
      <c r="I52" s="316"/>
      <c r="J52" s="317"/>
      <c r="K52" s="318"/>
    </row>
    <row r="53" spans="1:11" s="404" customFormat="1" ht="20.25" customHeight="1">
      <c r="A53" s="319" t="s">
        <v>753</v>
      </c>
      <c r="B53" s="403">
        <f t="shared" ref="B53:G53" si="13">SUM(B54:B59)</f>
        <v>3685</v>
      </c>
      <c r="C53" s="403">
        <f t="shared" si="13"/>
        <v>15329</v>
      </c>
      <c r="D53" s="403">
        <f t="shared" si="13"/>
        <v>1420</v>
      </c>
      <c r="E53" s="403">
        <f t="shared" si="13"/>
        <v>59</v>
      </c>
      <c r="F53" s="403">
        <f t="shared" si="13"/>
        <v>16332</v>
      </c>
      <c r="G53" s="403">
        <f t="shared" si="13"/>
        <v>4161</v>
      </c>
      <c r="H53" s="405"/>
      <c r="I53" s="310">
        <f t="shared" ref="I53:I59" si="14">SUM(B53:E53)/F53</f>
        <v>1.2547759000734753</v>
      </c>
      <c r="J53" s="311">
        <f t="shared" ref="J53:J59" si="15">(G53/SUM(B53:E53))*100</f>
        <v>20.304494217537698</v>
      </c>
      <c r="K53" s="312">
        <f t="shared" ref="K53:K59" si="16">(F53/SUM(B53:E53))*100</f>
        <v>79.695505782462305</v>
      </c>
    </row>
    <row r="54" spans="1:11" ht="20.25" customHeight="1">
      <c r="A54" s="323" t="s">
        <v>754</v>
      </c>
      <c r="B54" s="151">
        <v>2040</v>
      </c>
      <c r="C54" s="151">
        <v>7991</v>
      </c>
      <c r="D54" s="151">
        <v>612</v>
      </c>
      <c r="E54" s="151">
        <v>49</v>
      </c>
      <c r="F54" s="151">
        <v>8075</v>
      </c>
      <c r="G54" s="151">
        <v>2617</v>
      </c>
      <c r="H54" s="324"/>
      <c r="I54" s="316">
        <f t="shared" si="14"/>
        <v>1.3240866873065016</v>
      </c>
      <c r="J54" s="317">
        <f t="shared" si="15"/>
        <v>24.476243920688365</v>
      </c>
      <c r="K54" s="318">
        <f t="shared" si="16"/>
        <v>75.523756079311639</v>
      </c>
    </row>
    <row r="55" spans="1:11" ht="20.25" customHeight="1">
      <c r="A55" s="323" t="s">
        <v>755</v>
      </c>
      <c r="B55" s="151">
        <v>4</v>
      </c>
      <c r="C55" s="151">
        <v>229</v>
      </c>
      <c r="D55" s="151">
        <v>10</v>
      </c>
      <c r="E55" s="151">
        <v>1</v>
      </c>
      <c r="F55" s="151">
        <v>243</v>
      </c>
      <c r="G55" s="151">
        <v>1</v>
      </c>
      <c r="H55" s="324"/>
      <c r="I55" s="316">
        <f t="shared" si="14"/>
        <v>1.0041152263374487</v>
      </c>
      <c r="J55" s="317">
        <f t="shared" si="15"/>
        <v>0.4098360655737705</v>
      </c>
      <c r="K55" s="318">
        <f t="shared" si="16"/>
        <v>99.590163934426229</v>
      </c>
    </row>
    <row r="56" spans="1:11" ht="20.25" customHeight="1">
      <c r="A56" s="323" t="s">
        <v>756</v>
      </c>
      <c r="B56" s="151">
        <v>898</v>
      </c>
      <c r="C56" s="151">
        <v>2354</v>
      </c>
      <c r="D56" s="151">
        <v>249</v>
      </c>
      <c r="E56" s="151">
        <v>6</v>
      </c>
      <c r="F56" s="151">
        <v>2535</v>
      </c>
      <c r="G56" s="151">
        <v>972</v>
      </c>
      <c r="H56" s="324"/>
      <c r="I56" s="316">
        <f t="shared" si="14"/>
        <v>1.3834319526627219</v>
      </c>
      <c r="J56" s="317">
        <f t="shared" si="15"/>
        <v>27.71599657827203</v>
      </c>
      <c r="K56" s="318">
        <f t="shared" si="16"/>
        <v>72.284003421727974</v>
      </c>
    </row>
    <row r="57" spans="1:11" ht="20.25" customHeight="1">
      <c r="A57" s="323" t="s">
        <v>982</v>
      </c>
      <c r="B57" s="151">
        <v>104</v>
      </c>
      <c r="C57" s="151">
        <v>451</v>
      </c>
      <c r="D57" s="151">
        <v>14</v>
      </c>
      <c r="E57" s="151">
        <v>0</v>
      </c>
      <c r="F57" s="151">
        <v>379</v>
      </c>
      <c r="G57" s="151">
        <v>190</v>
      </c>
      <c r="H57" s="324"/>
      <c r="I57" s="316">
        <f>SUM(B57:E57)/F57</f>
        <v>1.5013192612137203</v>
      </c>
      <c r="J57" s="317">
        <f>(G57/SUM(B57:E57))*100</f>
        <v>33.391915641476274</v>
      </c>
      <c r="K57" s="318">
        <f t="shared" si="16"/>
        <v>66.608084358523726</v>
      </c>
    </row>
    <row r="58" spans="1:11" ht="20.25" customHeight="1">
      <c r="A58" s="323" t="s">
        <v>757</v>
      </c>
      <c r="B58" s="151">
        <v>591</v>
      </c>
      <c r="C58" s="151">
        <v>3620</v>
      </c>
      <c r="D58" s="151">
        <v>398</v>
      </c>
      <c r="E58" s="151">
        <v>0</v>
      </c>
      <c r="F58" s="151">
        <v>4287</v>
      </c>
      <c r="G58" s="151">
        <v>322</v>
      </c>
      <c r="H58" s="324"/>
      <c r="I58" s="316">
        <f t="shared" si="14"/>
        <v>1.0751108000933054</v>
      </c>
      <c r="J58" s="317">
        <f t="shared" si="15"/>
        <v>6.9863310913430245</v>
      </c>
      <c r="K58" s="318">
        <f t="shared" si="16"/>
        <v>93.013668908656982</v>
      </c>
    </row>
    <row r="59" spans="1:11" ht="20.25" customHeight="1">
      <c r="A59" s="323" t="s">
        <v>758</v>
      </c>
      <c r="B59" s="151">
        <v>48</v>
      </c>
      <c r="C59" s="151">
        <v>684</v>
      </c>
      <c r="D59" s="151">
        <v>137</v>
      </c>
      <c r="E59" s="151">
        <v>3</v>
      </c>
      <c r="F59" s="151">
        <v>813</v>
      </c>
      <c r="G59" s="151">
        <v>59</v>
      </c>
      <c r="H59" s="324"/>
      <c r="I59" s="316">
        <f t="shared" si="14"/>
        <v>1.072570725707257</v>
      </c>
      <c r="J59" s="317">
        <f t="shared" si="15"/>
        <v>6.7660550458715596</v>
      </c>
      <c r="K59" s="318">
        <f t="shared" si="16"/>
        <v>93.233944954128447</v>
      </c>
    </row>
    <row r="60" spans="1:11" ht="20.25" customHeight="1">
      <c r="A60" s="215"/>
      <c r="B60" s="151"/>
      <c r="C60" s="151"/>
      <c r="D60" s="151"/>
      <c r="E60" s="151"/>
      <c r="F60" s="151"/>
      <c r="G60" s="151"/>
      <c r="H60" s="324"/>
      <c r="I60" s="316"/>
      <c r="J60" s="317"/>
      <c r="K60" s="318"/>
    </row>
    <row r="61" spans="1:11" s="404" customFormat="1" ht="20.25" customHeight="1">
      <c r="A61" s="319" t="s">
        <v>759</v>
      </c>
      <c r="B61" s="403">
        <f>SUM(B62:B66)</f>
        <v>3320</v>
      </c>
      <c r="C61" s="403">
        <f t="shared" ref="C61:G61" si="17">SUM(C62:C66)</f>
        <v>15000</v>
      </c>
      <c r="D61" s="403">
        <f t="shared" si="17"/>
        <v>830</v>
      </c>
      <c r="E61" s="403">
        <f t="shared" si="17"/>
        <v>53</v>
      </c>
      <c r="F61" s="403">
        <f t="shared" si="17"/>
        <v>16294</v>
      </c>
      <c r="G61" s="403">
        <f t="shared" si="17"/>
        <v>2909</v>
      </c>
      <c r="H61" s="405"/>
      <c r="I61" s="310">
        <f t="shared" ref="I61:I66" si="18">SUM(B61:E61)/F61</f>
        <v>1.178531974960108</v>
      </c>
      <c r="J61" s="311">
        <f t="shared" ref="J61:J66" si="19">(G61/SUM(B61:E61))*100</f>
        <v>15.14867468624694</v>
      </c>
      <c r="K61" s="312">
        <f t="shared" ref="K61:K66" si="20">(F61/SUM(B61:E61))*100</f>
        <v>84.851325313753051</v>
      </c>
    </row>
    <row r="62" spans="1:11" ht="20.25" customHeight="1">
      <c r="A62" s="323" t="s">
        <v>760</v>
      </c>
      <c r="B62" s="151">
        <v>2146</v>
      </c>
      <c r="C62" s="151">
        <v>10101</v>
      </c>
      <c r="D62" s="151">
        <v>553</v>
      </c>
      <c r="E62" s="151">
        <v>42</v>
      </c>
      <c r="F62" s="151">
        <v>11014</v>
      </c>
      <c r="G62" s="151">
        <v>1828</v>
      </c>
      <c r="H62" s="324"/>
      <c r="I62" s="316">
        <f t="shared" si="18"/>
        <v>1.165970582894498</v>
      </c>
      <c r="J62" s="317">
        <f t="shared" si="19"/>
        <v>14.234542906089395</v>
      </c>
      <c r="K62" s="318">
        <f t="shared" si="20"/>
        <v>85.765457093910598</v>
      </c>
    </row>
    <row r="63" spans="1:11" ht="20.25" customHeight="1">
      <c r="A63" s="323" t="s">
        <v>761</v>
      </c>
      <c r="B63" s="151">
        <v>2</v>
      </c>
      <c r="C63" s="151">
        <v>641</v>
      </c>
      <c r="D63" s="151">
        <v>0</v>
      </c>
      <c r="E63" s="151">
        <v>0</v>
      </c>
      <c r="F63" s="151">
        <v>638</v>
      </c>
      <c r="G63" s="151">
        <v>5</v>
      </c>
      <c r="H63" s="324"/>
      <c r="I63" s="316">
        <f t="shared" si="18"/>
        <v>1.0078369905956113</v>
      </c>
      <c r="J63" s="317">
        <f t="shared" si="19"/>
        <v>0.77760497667185069</v>
      </c>
      <c r="K63" s="318">
        <f t="shared" si="20"/>
        <v>99.222395023328147</v>
      </c>
    </row>
    <row r="64" spans="1:11" ht="20.25" customHeight="1">
      <c r="A64" s="323" t="s">
        <v>762</v>
      </c>
      <c r="B64" s="151">
        <v>550</v>
      </c>
      <c r="C64" s="151">
        <v>1942</v>
      </c>
      <c r="D64" s="151">
        <v>141</v>
      </c>
      <c r="E64" s="151">
        <v>9</v>
      </c>
      <c r="F64" s="151">
        <v>2231</v>
      </c>
      <c r="G64" s="151">
        <v>411</v>
      </c>
      <c r="H64" s="324"/>
      <c r="I64" s="316">
        <f t="shared" si="18"/>
        <v>1.1842223218287764</v>
      </c>
      <c r="J64" s="317">
        <f t="shared" si="19"/>
        <v>15.556396669190006</v>
      </c>
      <c r="K64" s="318">
        <f t="shared" si="20"/>
        <v>84.443603330809992</v>
      </c>
    </row>
    <row r="65" spans="1:11" ht="20.25" customHeight="1">
      <c r="A65" s="323" t="s">
        <v>763</v>
      </c>
      <c r="B65" s="151">
        <v>622</v>
      </c>
      <c r="C65" s="151">
        <v>2290</v>
      </c>
      <c r="D65" s="151">
        <v>135</v>
      </c>
      <c r="E65" s="151">
        <v>1</v>
      </c>
      <c r="F65" s="151">
        <v>2401</v>
      </c>
      <c r="G65" s="151">
        <v>647</v>
      </c>
      <c r="H65" s="324"/>
      <c r="I65" s="316">
        <f t="shared" si="18"/>
        <v>1.2694710537276135</v>
      </c>
      <c r="J65" s="317">
        <f t="shared" si="19"/>
        <v>21.22703412073491</v>
      </c>
      <c r="K65" s="318">
        <f t="shared" si="20"/>
        <v>78.772965879265087</v>
      </c>
    </row>
    <row r="66" spans="1:11" ht="20.25" customHeight="1">
      <c r="A66" s="323" t="s">
        <v>1041</v>
      </c>
      <c r="B66" s="151">
        <v>0</v>
      </c>
      <c r="C66" s="151">
        <v>26</v>
      </c>
      <c r="D66" s="151">
        <v>1</v>
      </c>
      <c r="E66" s="151">
        <v>1</v>
      </c>
      <c r="F66" s="151">
        <v>10</v>
      </c>
      <c r="G66" s="151">
        <v>18</v>
      </c>
      <c r="H66" s="324"/>
      <c r="I66" s="316">
        <f t="shared" si="18"/>
        <v>2.8</v>
      </c>
      <c r="J66" s="317">
        <f t="shared" si="19"/>
        <v>64.285714285714292</v>
      </c>
      <c r="K66" s="318">
        <f t="shared" si="20"/>
        <v>35.714285714285715</v>
      </c>
    </row>
    <row r="67" spans="1:11" ht="20.25" customHeight="1">
      <c r="A67" s="215"/>
      <c r="B67" s="151"/>
      <c r="C67" s="151"/>
      <c r="D67" s="151"/>
      <c r="E67" s="151"/>
      <c r="F67" s="151"/>
      <c r="G67" s="151"/>
      <c r="H67" s="324"/>
      <c r="I67" s="316"/>
      <c r="J67" s="317"/>
      <c r="K67" s="318"/>
    </row>
    <row r="68" spans="1:11" s="404" customFormat="1" ht="20.25" customHeight="1">
      <c r="A68" s="319" t="s">
        <v>764</v>
      </c>
      <c r="B68" s="403">
        <f t="shared" ref="B68:G68" si="21">SUM(B69:B71)</f>
        <v>2687</v>
      </c>
      <c r="C68" s="403">
        <f t="shared" si="21"/>
        <v>8047</v>
      </c>
      <c r="D68" s="403">
        <f t="shared" si="21"/>
        <v>415</v>
      </c>
      <c r="E68" s="403">
        <f t="shared" si="21"/>
        <v>31</v>
      </c>
      <c r="F68" s="403">
        <f t="shared" si="21"/>
        <v>8867</v>
      </c>
      <c r="G68" s="403">
        <f t="shared" si="21"/>
        <v>2313</v>
      </c>
      <c r="H68" s="405"/>
      <c r="I68" s="310">
        <f>SUM(B68:E68)/F68</f>
        <v>1.260854855080636</v>
      </c>
      <c r="J68" s="311">
        <f>(G68/SUM(B68:E68))*100</f>
        <v>20.688729874776389</v>
      </c>
      <c r="K68" s="312">
        <f>(F68/SUM(B68:E68))*100</f>
        <v>79.311270125223615</v>
      </c>
    </row>
    <row r="69" spans="1:11" ht="20.25" customHeight="1">
      <c r="A69" s="323" t="s">
        <v>765</v>
      </c>
      <c r="B69" s="151">
        <v>1592</v>
      </c>
      <c r="C69" s="151">
        <v>4785</v>
      </c>
      <c r="D69" s="151">
        <v>195</v>
      </c>
      <c r="E69" s="151">
        <v>30</v>
      </c>
      <c r="F69" s="151">
        <v>5294</v>
      </c>
      <c r="G69" s="151">
        <v>1308</v>
      </c>
      <c r="H69" s="324"/>
      <c r="I69" s="316">
        <f>SUM(B69:E69)/F69</f>
        <v>1.247072157159048</v>
      </c>
      <c r="J69" s="317">
        <f>(G69/SUM(B69:E69))*100</f>
        <v>19.812178127840049</v>
      </c>
      <c r="K69" s="318">
        <f>(F69/SUM(B69:E69))*100</f>
        <v>80.187821872159944</v>
      </c>
    </row>
    <row r="70" spans="1:11" ht="20.25" customHeight="1">
      <c r="A70" s="323" t="s">
        <v>766</v>
      </c>
      <c r="B70" s="151">
        <v>11</v>
      </c>
      <c r="C70" s="151">
        <v>463</v>
      </c>
      <c r="D70" s="151">
        <v>0</v>
      </c>
      <c r="E70" s="151">
        <v>0</v>
      </c>
      <c r="F70" s="151">
        <v>470</v>
      </c>
      <c r="G70" s="151">
        <v>4</v>
      </c>
      <c r="H70" s="324"/>
      <c r="I70" s="316">
        <f>SUM(B70:E70)/F70</f>
        <v>1.0085106382978724</v>
      </c>
      <c r="J70" s="317">
        <f>(G70/SUM(B70:E70))*100</f>
        <v>0.8438818565400843</v>
      </c>
      <c r="K70" s="318">
        <f>(F70/SUM(B70:E70))*100</f>
        <v>99.156118143459921</v>
      </c>
    </row>
    <row r="71" spans="1:11" ht="20.25" customHeight="1">
      <c r="A71" s="323" t="s">
        <v>767</v>
      </c>
      <c r="B71" s="151">
        <v>1084</v>
      </c>
      <c r="C71" s="151">
        <v>2799</v>
      </c>
      <c r="D71" s="151">
        <v>220</v>
      </c>
      <c r="E71" s="151">
        <v>1</v>
      </c>
      <c r="F71" s="151">
        <v>3103</v>
      </c>
      <c r="G71" s="151">
        <v>1001</v>
      </c>
      <c r="H71" s="324"/>
      <c r="I71" s="316">
        <f>SUM(B71:E71)/F71</f>
        <v>1.3225910409281341</v>
      </c>
      <c r="J71" s="317">
        <f>(G71/SUM(B71:E71))*100</f>
        <v>24.390838206627681</v>
      </c>
      <c r="K71" s="318">
        <f>(F71/SUM(B71:E71))*100</f>
        <v>75.609161793372309</v>
      </c>
    </row>
    <row r="72" spans="1:11" ht="20.25" customHeight="1">
      <c r="A72" s="308"/>
      <c r="B72" s="151"/>
      <c r="C72" s="151"/>
      <c r="D72" s="151"/>
      <c r="E72" s="151"/>
      <c r="F72" s="151"/>
      <c r="G72" s="151"/>
      <c r="H72" s="324"/>
      <c r="I72" s="316"/>
      <c r="J72" s="317"/>
      <c r="K72" s="318"/>
    </row>
    <row r="73" spans="1:11" s="404" customFormat="1" ht="20.25" customHeight="1">
      <c r="A73" s="319" t="s">
        <v>872</v>
      </c>
      <c r="B73" s="403">
        <f t="shared" ref="B73:G73" si="22">SUM(B74:B76)</f>
        <v>2094</v>
      </c>
      <c r="C73" s="403">
        <f t="shared" si="22"/>
        <v>8503</v>
      </c>
      <c r="D73" s="403">
        <f t="shared" si="22"/>
        <v>869</v>
      </c>
      <c r="E73" s="403">
        <f t="shared" si="22"/>
        <v>3</v>
      </c>
      <c r="F73" s="403">
        <f t="shared" si="22"/>
        <v>9083</v>
      </c>
      <c r="G73" s="403">
        <f t="shared" si="22"/>
        <v>2386</v>
      </c>
      <c r="H73" s="405"/>
      <c r="I73" s="310">
        <f>SUM(B73:E73)/F73</f>
        <v>1.2626885390289553</v>
      </c>
      <c r="J73" s="311">
        <f>(G73/SUM(B73:E73))*100</f>
        <v>20.803906181881594</v>
      </c>
      <c r="K73" s="312">
        <f>(F73/SUM(B73:E73))*100</f>
        <v>79.196093818118413</v>
      </c>
    </row>
    <row r="74" spans="1:11" ht="20.25" customHeight="1">
      <c r="A74" s="323" t="s">
        <v>530</v>
      </c>
      <c r="B74" s="151">
        <v>943</v>
      </c>
      <c r="C74" s="151">
        <v>3628</v>
      </c>
      <c r="D74" s="151">
        <v>473</v>
      </c>
      <c r="E74" s="151">
        <v>3</v>
      </c>
      <c r="F74" s="151">
        <v>4229</v>
      </c>
      <c r="G74" s="151">
        <v>818</v>
      </c>
      <c r="H74" s="324"/>
      <c r="I74" s="316">
        <f>SUM(B74:E74)/F74</f>
        <v>1.193426341924805</v>
      </c>
      <c r="J74" s="317">
        <f>(G74/SUM(B74:E74))*100</f>
        <v>16.207648107786802</v>
      </c>
      <c r="K74" s="318">
        <f>(F74/SUM(B74:E74))*100</f>
        <v>83.79235189221319</v>
      </c>
    </row>
    <row r="75" spans="1:11" ht="20.25" customHeight="1">
      <c r="A75" s="323" t="s">
        <v>768</v>
      </c>
      <c r="B75" s="151">
        <v>1148</v>
      </c>
      <c r="C75" s="151">
        <v>4214</v>
      </c>
      <c r="D75" s="151">
        <v>391</v>
      </c>
      <c r="E75" s="151">
        <v>0</v>
      </c>
      <c r="F75" s="151">
        <v>4190</v>
      </c>
      <c r="G75" s="151">
        <v>1563</v>
      </c>
      <c r="H75" s="324"/>
      <c r="I75" s="316">
        <f>SUM(B75:E75)/F75</f>
        <v>1.3730310262529832</v>
      </c>
      <c r="J75" s="317">
        <f>(G75/SUM(B75:E75))*100</f>
        <v>27.168433860594472</v>
      </c>
      <c r="K75" s="318">
        <f>(F75/SUM(B75:E75))*100</f>
        <v>72.831566139405524</v>
      </c>
    </row>
    <row r="76" spans="1:11" ht="20.25" customHeight="1">
      <c r="A76" s="323" t="s">
        <v>193</v>
      </c>
      <c r="B76" s="151">
        <v>3</v>
      </c>
      <c r="C76" s="151">
        <v>661</v>
      </c>
      <c r="D76" s="151">
        <v>5</v>
      </c>
      <c r="E76" s="151">
        <v>0</v>
      </c>
      <c r="F76" s="151">
        <v>664</v>
      </c>
      <c r="G76" s="151">
        <v>5</v>
      </c>
      <c r="H76" s="324"/>
      <c r="I76" s="316">
        <f>SUM(B76:E76)/F76</f>
        <v>1.0075301204819278</v>
      </c>
      <c r="J76" s="317">
        <f>(G76/SUM(B76:E76))*100</f>
        <v>0.74738415545590431</v>
      </c>
      <c r="K76" s="318">
        <f>(F76/SUM(B76:E76))*100</f>
        <v>99.252615844544096</v>
      </c>
    </row>
    <row r="77" spans="1:11" ht="20.25" customHeight="1">
      <c r="A77" s="308"/>
      <c r="B77" s="151"/>
      <c r="C77" s="151"/>
      <c r="D77" s="151"/>
      <c r="E77" s="151"/>
      <c r="F77" s="151"/>
      <c r="G77" s="151"/>
      <c r="H77" s="324"/>
      <c r="I77" s="316"/>
      <c r="J77" s="317"/>
      <c r="K77" s="318"/>
    </row>
    <row r="78" spans="1:11" s="404" customFormat="1" ht="20.25" customHeight="1">
      <c r="A78" s="319" t="s">
        <v>249</v>
      </c>
      <c r="B78" s="403">
        <f t="shared" ref="B78:G78" si="23">SUM(B79:B83)</f>
        <v>2730</v>
      </c>
      <c r="C78" s="403">
        <f t="shared" si="23"/>
        <v>11967</v>
      </c>
      <c r="D78" s="403">
        <f t="shared" si="23"/>
        <v>261</v>
      </c>
      <c r="E78" s="403">
        <f t="shared" si="23"/>
        <v>32</v>
      </c>
      <c r="F78" s="403">
        <f t="shared" si="23"/>
        <v>11592</v>
      </c>
      <c r="G78" s="403">
        <f t="shared" si="23"/>
        <v>3398</v>
      </c>
      <c r="H78" s="405"/>
      <c r="I78" s="310">
        <f t="shared" ref="I78:I83" si="24">SUM(B78:E78)/F78</f>
        <v>1.2931331953071084</v>
      </c>
      <c r="J78" s="311">
        <f t="shared" ref="J78:J83" si="25">(G78/SUM(B78:E78))*100</f>
        <v>22.66844563042028</v>
      </c>
      <c r="K78" s="312">
        <f t="shared" ref="K78:K83" si="26">(F78/SUM(B78:E78))*100</f>
        <v>77.33155436957972</v>
      </c>
    </row>
    <row r="79" spans="1:11" ht="20.25" customHeight="1">
      <c r="A79" s="323" t="s">
        <v>194</v>
      </c>
      <c r="B79" s="151">
        <v>1285</v>
      </c>
      <c r="C79" s="151">
        <v>5801</v>
      </c>
      <c r="D79" s="151">
        <v>4</v>
      </c>
      <c r="E79" s="151">
        <v>17</v>
      </c>
      <c r="F79" s="151">
        <v>5397</v>
      </c>
      <c r="G79" s="151">
        <v>1710</v>
      </c>
      <c r="H79" s="324"/>
      <c r="I79" s="316">
        <f t="shared" si="24"/>
        <v>1.3168426903835464</v>
      </c>
      <c r="J79" s="317">
        <f t="shared" si="25"/>
        <v>24.060785141409877</v>
      </c>
      <c r="K79" s="318">
        <f t="shared" si="26"/>
        <v>75.93921485859012</v>
      </c>
    </row>
    <row r="80" spans="1:11" ht="20.25" customHeight="1">
      <c r="A80" s="323" t="s">
        <v>195</v>
      </c>
      <c r="B80" s="151">
        <v>11</v>
      </c>
      <c r="C80" s="151">
        <v>515</v>
      </c>
      <c r="D80" s="151">
        <v>1</v>
      </c>
      <c r="E80" s="151">
        <v>2</v>
      </c>
      <c r="F80" s="151">
        <v>523</v>
      </c>
      <c r="G80" s="151">
        <v>6</v>
      </c>
      <c r="H80" s="324"/>
      <c r="I80" s="316">
        <f t="shared" si="24"/>
        <v>1.0114722753346079</v>
      </c>
      <c r="J80" s="317">
        <f t="shared" si="25"/>
        <v>1.1342155009451798</v>
      </c>
      <c r="K80" s="318">
        <f t="shared" si="26"/>
        <v>98.865784499054826</v>
      </c>
    </row>
    <row r="81" spans="1:11" ht="20.25" customHeight="1">
      <c r="A81" s="323" t="s">
        <v>196</v>
      </c>
      <c r="B81" s="151">
        <v>214</v>
      </c>
      <c r="C81" s="151">
        <v>886</v>
      </c>
      <c r="D81" s="151">
        <v>18</v>
      </c>
      <c r="E81" s="151">
        <v>2</v>
      </c>
      <c r="F81" s="151">
        <v>851</v>
      </c>
      <c r="G81" s="151">
        <v>269</v>
      </c>
      <c r="H81" s="324"/>
      <c r="I81" s="316">
        <f t="shared" si="24"/>
        <v>1.3160987074030552</v>
      </c>
      <c r="J81" s="317">
        <f t="shared" si="25"/>
        <v>24.017857142857142</v>
      </c>
      <c r="K81" s="318">
        <f t="shared" si="26"/>
        <v>75.982142857142847</v>
      </c>
    </row>
    <row r="82" spans="1:11" ht="20.25" customHeight="1">
      <c r="A82" s="323" t="s">
        <v>197</v>
      </c>
      <c r="B82" s="151">
        <v>422</v>
      </c>
      <c r="C82" s="151">
        <v>2021</v>
      </c>
      <c r="D82" s="151">
        <v>97</v>
      </c>
      <c r="E82" s="151">
        <v>5</v>
      </c>
      <c r="F82" s="151">
        <v>2066</v>
      </c>
      <c r="G82" s="151">
        <v>479</v>
      </c>
      <c r="H82" s="324"/>
      <c r="I82" s="316">
        <f t="shared" si="24"/>
        <v>1.2318489835430784</v>
      </c>
      <c r="J82" s="317">
        <f t="shared" si="25"/>
        <v>18.821218074656187</v>
      </c>
      <c r="K82" s="318">
        <f t="shared" si="26"/>
        <v>81.178781925343813</v>
      </c>
    </row>
    <row r="83" spans="1:11" ht="20.25" customHeight="1">
      <c r="A83" s="323" t="s">
        <v>198</v>
      </c>
      <c r="B83" s="151">
        <v>798</v>
      </c>
      <c r="C83" s="151">
        <v>2744</v>
      </c>
      <c r="D83" s="151">
        <v>141</v>
      </c>
      <c r="E83" s="151">
        <v>6</v>
      </c>
      <c r="F83" s="151">
        <v>2755</v>
      </c>
      <c r="G83" s="151">
        <v>934</v>
      </c>
      <c r="H83" s="324"/>
      <c r="I83" s="316">
        <f t="shared" si="24"/>
        <v>1.3390199637023594</v>
      </c>
      <c r="J83" s="317">
        <f t="shared" si="25"/>
        <v>25.318514502575223</v>
      </c>
      <c r="K83" s="318">
        <f t="shared" si="26"/>
        <v>74.681485497424774</v>
      </c>
    </row>
    <row r="84" spans="1:11" ht="20.25" customHeight="1">
      <c r="A84" s="308"/>
      <c r="B84" s="151"/>
      <c r="C84" s="151"/>
      <c r="D84" s="151"/>
      <c r="E84" s="151"/>
      <c r="F84" s="151"/>
      <c r="G84" s="151"/>
      <c r="H84" s="324"/>
      <c r="I84" s="316"/>
      <c r="J84" s="317"/>
      <c r="K84" s="318"/>
    </row>
    <row r="85" spans="1:11" s="404" customFormat="1" ht="20.25" customHeight="1">
      <c r="A85" s="319" t="s">
        <v>199</v>
      </c>
      <c r="B85" s="403">
        <f t="shared" ref="B85:G85" si="27">SUM(B86:B88)</f>
        <v>1237</v>
      </c>
      <c r="C85" s="403">
        <f t="shared" si="27"/>
        <v>5833</v>
      </c>
      <c r="D85" s="403">
        <f t="shared" si="27"/>
        <v>343</v>
      </c>
      <c r="E85" s="403">
        <f t="shared" si="27"/>
        <v>14</v>
      </c>
      <c r="F85" s="403">
        <f t="shared" si="27"/>
        <v>6054</v>
      </c>
      <c r="G85" s="403">
        <f t="shared" si="27"/>
        <v>1373</v>
      </c>
      <c r="H85" s="405"/>
      <c r="I85" s="310">
        <f>SUM(B85:E85)/F85</f>
        <v>1.2267922035018171</v>
      </c>
      <c r="J85" s="311">
        <f>(G85/SUM(B85:E85))*100</f>
        <v>18.486602935236299</v>
      </c>
      <c r="K85" s="312">
        <f>(F85/SUM(B85:E85))*100</f>
        <v>81.513397064763708</v>
      </c>
    </row>
    <row r="86" spans="1:11" ht="20.25" customHeight="1">
      <c r="A86" s="323" t="s">
        <v>200</v>
      </c>
      <c r="B86" s="151">
        <v>1043</v>
      </c>
      <c r="C86" s="151">
        <v>3993</v>
      </c>
      <c r="D86" s="151">
        <v>325</v>
      </c>
      <c r="E86" s="151">
        <v>13</v>
      </c>
      <c r="F86" s="151">
        <v>4364</v>
      </c>
      <c r="G86" s="151">
        <v>1010</v>
      </c>
      <c r="H86" s="324"/>
      <c r="I86" s="316">
        <f>SUM(B86:E86)/F86</f>
        <v>1.2314390467461045</v>
      </c>
      <c r="J86" s="317">
        <f>(G86/SUM(B86:E86))*100</f>
        <v>18.794194268701155</v>
      </c>
      <c r="K86" s="318">
        <f>(F86/SUM(B86:E86))*100</f>
        <v>81.205805731298838</v>
      </c>
    </row>
    <row r="87" spans="1:11" ht="20.25" customHeight="1">
      <c r="A87" s="323" t="s">
        <v>201</v>
      </c>
      <c r="B87" s="151">
        <v>0</v>
      </c>
      <c r="C87" s="151">
        <v>545</v>
      </c>
      <c r="D87" s="151">
        <v>18</v>
      </c>
      <c r="E87" s="151">
        <v>1</v>
      </c>
      <c r="F87" s="151">
        <v>553</v>
      </c>
      <c r="G87" s="151">
        <v>11</v>
      </c>
      <c r="H87" s="324"/>
      <c r="I87" s="316">
        <f>SUM(B87:E87)/F87</f>
        <v>1.0198915009041591</v>
      </c>
      <c r="J87" s="317">
        <f>(G87/SUM(B87:E87))*100</f>
        <v>1.9503546099290781</v>
      </c>
      <c r="K87" s="318">
        <f>(F87/SUM(B87:E87))*100</f>
        <v>98.049645390070921</v>
      </c>
    </row>
    <row r="88" spans="1:11" ht="20.25" customHeight="1">
      <c r="A88" s="323" t="s">
        <v>202</v>
      </c>
      <c r="B88" s="151">
        <v>194</v>
      </c>
      <c r="C88" s="151">
        <v>1295</v>
      </c>
      <c r="D88" s="151">
        <v>0</v>
      </c>
      <c r="E88" s="151">
        <v>0</v>
      </c>
      <c r="F88" s="151">
        <v>1137</v>
      </c>
      <c r="G88" s="151">
        <v>352</v>
      </c>
      <c r="H88" s="324"/>
      <c r="I88" s="316">
        <f>SUM(B88:E88)/F88</f>
        <v>1.3095866314863676</v>
      </c>
      <c r="J88" s="317">
        <f>(G88/SUM(B88:E88))*100</f>
        <v>23.64002686366689</v>
      </c>
      <c r="K88" s="318">
        <f>(F88/SUM(B88:E88))*100</f>
        <v>76.35997313633311</v>
      </c>
    </row>
    <row r="89" spans="1:11" ht="20.25" customHeight="1">
      <c r="A89" s="308"/>
      <c r="B89" s="151"/>
      <c r="C89" s="151"/>
      <c r="D89" s="151"/>
      <c r="E89" s="151"/>
      <c r="F89" s="151"/>
      <c r="G89" s="151"/>
      <c r="H89" s="324"/>
      <c r="I89" s="316"/>
      <c r="J89" s="317"/>
      <c r="K89" s="318"/>
    </row>
    <row r="90" spans="1:11" s="404" customFormat="1" ht="20.25" customHeight="1">
      <c r="A90" s="319" t="s">
        <v>203</v>
      </c>
      <c r="B90" s="403">
        <f t="shared" ref="B90:G90" si="28">SUM(B91:B97)</f>
        <v>2425</v>
      </c>
      <c r="C90" s="403">
        <f t="shared" si="28"/>
        <v>7366</v>
      </c>
      <c r="D90" s="403">
        <f t="shared" si="28"/>
        <v>379</v>
      </c>
      <c r="E90" s="403">
        <f t="shared" si="28"/>
        <v>40</v>
      </c>
      <c r="F90" s="403">
        <f t="shared" si="28"/>
        <v>7676</v>
      </c>
      <c r="G90" s="403">
        <f t="shared" si="28"/>
        <v>2534</v>
      </c>
      <c r="H90" s="405"/>
      <c r="I90" s="310">
        <f t="shared" ref="I90:I97" si="29">SUM(B90:E90)/F90</f>
        <v>1.3301198540906722</v>
      </c>
      <c r="J90" s="311">
        <f t="shared" ref="J90:J97" si="30">(G90/SUM(B90:E90))*100</f>
        <v>24.818805093046034</v>
      </c>
      <c r="K90" s="312">
        <f t="shared" ref="K90:K97" si="31">(F90/SUM(B90:E90))*100</f>
        <v>75.181194906953962</v>
      </c>
    </row>
    <row r="91" spans="1:11" ht="20.25" customHeight="1">
      <c r="A91" s="323" t="s">
        <v>204</v>
      </c>
      <c r="B91" s="151">
        <v>554</v>
      </c>
      <c r="C91" s="151">
        <v>1857</v>
      </c>
      <c r="D91" s="151">
        <v>41</v>
      </c>
      <c r="E91" s="151">
        <v>22</v>
      </c>
      <c r="F91" s="151">
        <v>1849</v>
      </c>
      <c r="G91" s="151">
        <v>625</v>
      </c>
      <c r="H91" s="324"/>
      <c r="I91" s="316">
        <f t="shared" si="29"/>
        <v>1.3380205516495403</v>
      </c>
      <c r="J91" s="317">
        <f t="shared" si="30"/>
        <v>25.262732417138238</v>
      </c>
      <c r="K91" s="318">
        <f t="shared" si="31"/>
        <v>74.737267582861762</v>
      </c>
    </row>
    <row r="92" spans="1:11" ht="20.25" customHeight="1">
      <c r="A92" s="323" t="s">
        <v>205</v>
      </c>
      <c r="B92" s="151">
        <v>2</v>
      </c>
      <c r="C92" s="151">
        <v>222</v>
      </c>
      <c r="D92" s="151">
        <v>4</v>
      </c>
      <c r="E92" s="151">
        <v>1</v>
      </c>
      <c r="F92" s="151">
        <v>225</v>
      </c>
      <c r="G92" s="151">
        <v>4</v>
      </c>
      <c r="H92" s="324"/>
      <c r="I92" s="316">
        <f t="shared" si="29"/>
        <v>1.0177777777777777</v>
      </c>
      <c r="J92" s="317">
        <f t="shared" si="30"/>
        <v>1.7467248908296942</v>
      </c>
      <c r="K92" s="318">
        <f t="shared" si="31"/>
        <v>98.253275109170303</v>
      </c>
    </row>
    <row r="93" spans="1:11" ht="20.25" customHeight="1">
      <c r="A93" s="323" t="s">
        <v>206</v>
      </c>
      <c r="B93" s="151">
        <v>592</v>
      </c>
      <c r="C93" s="151">
        <v>1906</v>
      </c>
      <c r="D93" s="151">
        <v>83</v>
      </c>
      <c r="E93" s="151">
        <v>0</v>
      </c>
      <c r="F93" s="151">
        <v>2065</v>
      </c>
      <c r="G93" s="151">
        <v>516</v>
      </c>
      <c r="H93" s="324"/>
      <c r="I93" s="316">
        <f t="shared" si="29"/>
        <v>1.2498789346246972</v>
      </c>
      <c r="J93" s="317">
        <f t="shared" si="30"/>
        <v>19.992251065478499</v>
      </c>
      <c r="K93" s="318">
        <f t="shared" si="31"/>
        <v>80.007748934521501</v>
      </c>
    </row>
    <row r="94" spans="1:11" ht="20.25" customHeight="1">
      <c r="A94" s="323" t="s">
        <v>207</v>
      </c>
      <c r="B94" s="151">
        <v>685</v>
      </c>
      <c r="C94" s="151">
        <v>1628</v>
      </c>
      <c r="D94" s="151">
        <v>152</v>
      </c>
      <c r="E94" s="151">
        <v>4</v>
      </c>
      <c r="F94" s="151">
        <v>1779</v>
      </c>
      <c r="G94" s="151">
        <v>690</v>
      </c>
      <c r="H94" s="324"/>
      <c r="I94" s="316">
        <f t="shared" si="29"/>
        <v>1.3878583473861721</v>
      </c>
      <c r="J94" s="317">
        <f t="shared" si="30"/>
        <v>27.946537059538272</v>
      </c>
      <c r="K94" s="318">
        <f t="shared" si="31"/>
        <v>72.053462940461728</v>
      </c>
    </row>
    <row r="95" spans="1:11" ht="20.25" customHeight="1">
      <c r="A95" s="323" t="s">
        <v>208</v>
      </c>
      <c r="B95" s="151">
        <v>189</v>
      </c>
      <c r="C95" s="151">
        <v>71</v>
      </c>
      <c r="D95" s="151">
        <v>11</v>
      </c>
      <c r="E95" s="151">
        <v>1</v>
      </c>
      <c r="F95" s="151">
        <v>83</v>
      </c>
      <c r="G95" s="151">
        <v>189</v>
      </c>
      <c r="H95" s="324"/>
      <c r="I95" s="316">
        <f t="shared" si="29"/>
        <v>3.2771084337349397</v>
      </c>
      <c r="J95" s="317">
        <f t="shared" si="30"/>
        <v>69.485294117647058</v>
      </c>
      <c r="K95" s="318">
        <f t="shared" si="31"/>
        <v>30.514705882352942</v>
      </c>
    </row>
    <row r="96" spans="1:11" ht="20.25" customHeight="1">
      <c r="A96" s="323" t="s">
        <v>1043</v>
      </c>
      <c r="B96" s="151">
        <v>0</v>
      </c>
      <c r="C96" s="151">
        <v>565</v>
      </c>
      <c r="D96" s="151">
        <v>14</v>
      </c>
      <c r="E96" s="151">
        <v>0</v>
      </c>
      <c r="F96" s="151">
        <v>442</v>
      </c>
      <c r="G96" s="151">
        <v>137</v>
      </c>
      <c r="H96" s="324"/>
      <c r="I96" s="316">
        <f t="shared" ref="I96" si="32">SUM(B96:E96)/F96</f>
        <v>1.3099547511312217</v>
      </c>
      <c r="J96" s="317">
        <f t="shared" ref="J96" si="33">(G96/SUM(B96:E96))*100</f>
        <v>23.661485319516405</v>
      </c>
      <c r="K96" s="318">
        <f t="shared" ref="K96" si="34">(F96/SUM(B96:E96))*100</f>
        <v>76.338514680483598</v>
      </c>
    </row>
    <row r="97" spans="1:11" ht="20.25" customHeight="1">
      <c r="A97" s="323" t="s">
        <v>209</v>
      </c>
      <c r="B97" s="151">
        <v>403</v>
      </c>
      <c r="C97" s="151">
        <v>1117</v>
      </c>
      <c r="D97" s="151">
        <v>74</v>
      </c>
      <c r="E97" s="151">
        <v>12</v>
      </c>
      <c r="F97" s="151">
        <v>1233</v>
      </c>
      <c r="G97" s="151">
        <v>373</v>
      </c>
      <c r="H97" s="324"/>
      <c r="I97" s="316">
        <f t="shared" si="29"/>
        <v>1.3025141930251418</v>
      </c>
      <c r="J97" s="317">
        <f t="shared" si="30"/>
        <v>23.225404732254049</v>
      </c>
      <c r="K97" s="318">
        <f t="shared" si="31"/>
        <v>76.774595267745951</v>
      </c>
    </row>
    <row r="98" spans="1:11" ht="20.25" customHeight="1">
      <c r="A98" s="308"/>
      <c r="B98" s="151"/>
      <c r="C98" s="151"/>
      <c r="D98" s="151"/>
      <c r="E98" s="151"/>
      <c r="F98" s="151"/>
      <c r="G98" s="151"/>
      <c r="H98" s="324"/>
      <c r="I98" s="316"/>
      <c r="J98" s="317"/>
      <c r="K98" s="318"/>
    </row>
    <row r="99" spans="1:11" s="404" customFormat="1" ht="20.25" customHeight="1">
      <c r="A99" s="319" t="s">
        <v>210</v>
      </c>
      <c r="B99" s="403">
        <f t="shared" ref="B99:G99" si="35">SUM(B100:B102)</f>
        <v>2593</v>
      </c>
      <c r="C99" s="403">
        <f t="shared" si="35"/>
        <v>7315</v>
      </c>
      <c r="D99" s="403">
        <f t="shared" si="35"/>
        <v>312</v>
      </c>
      <c r="E99" s="403">
        <f t="shared" si="35"/>
        <v>29</v>
      </c>
      <c r="F99" s="403">
        <f t="shared" si="35"/>
        <v>8364</v>
      </c>
      <c r="G99" s="403">
        <f t="shared" si="35"/>
        <v>1885</v>
      </c>
      <c r="H99" s="405"/>
      <c r="I99" s="310">
        <f>SUM(B99:E99)/F99</f>
        <v>1.2253706360593017</v>
      </c>
      <c r="J99" s="311">
        <f>(G99/SUM(B99:E99))*100</f>
        <v>18.392038247633916</v>
      </c>
      <c r="K99" s="312">
        <f>(F99/SUM(B99:E99))*100</f>
        <v>81.607961752366094</v>
      </c>
    </row>
    <row r="100" spans="1:11" ht="20.25" customHeight="1">
      <c r="A100" s="323" t="s">
        <v>211</v>
      </c>
      <c r="B100" s="151">
        <v>2026</v>
      </c>
      <c r="C100" s="151">
        <v>5334</v>
      </c>
      <c r="D100" s="151">
        <v>257</v>
      </c>
      <c r="E100" s="151">
        <v>27</v>
      </c>
      <c r="F100" s="151">
        <v>6199</v>
      </c>
      <c r="G100" s="151">
        <v>1445</v>
      </c>
      <c r="H100" s="324"/>
      <c r="I100" s="316">
        <f>SUM(B100:E100)/F100</f>
        <v>1.2331021132440716</v>
      </c>
      <c r="J100" s="317">
        <f>(G100/SUM(B100:E100))*100</f>
        <v>18.903715332286762</v>
      </c>
      <c r="K100" s="318">
        <f>(F100/SUM(B100:E100))*100</f>
        <v>81.096284667713235</v>
      </c>
    </row>
    <row r="101" spans="1:11" ht="20.25" customHeight="1">
      <c r="A101" s="323" t="s">
        <v>212</v>
      </c>
      <c r="B101" s="151">
        <v>0</v>
      </c>
      <c r="C101" s="151">
        <v>333</v>
      </c>
      <c r="D101" s="151">
        <v>3</v>
      </c>
      <c r="E101" s="151">
        <v>0</v>
      </c>
      <c r="F101" s="151">
        <v>335</v>
      </c>
      <c r="G101" s="151">
        <v>1</v>
      </c>
      <c r="H101" s="324"/>
      <c r="I101" s="316">
        <f>SUM(B101:E101)/F101</f>
        <v>1.0029850746268656</v>
      </c>
      <c r="J101" s="317">
        <f>(G101/SUM(B101:E101))*100</f>
        <v>0.29761904761904762</v>
      </c>
      <c r="K101" s="318">
        <f>(F101/SUM(B101:E101))*100</f>
        <v>99.702380952380949</v>
      </c>
    </row>
    <row r="102" spans="1:11" ht="20.25" customHeight="1">
      <c r="A102" s="323" t="s">
        <v>213</v>
      </c>
      <c r="B102" s="151">
        <v>567</v>
      </c>
      <c r="C102" s="151">
        <v>1648</v>
      </c>
      <c r="D102" s="151">
        <v>52</v>
      </c>
      <c r="E102" s="151">
        <v>2</v>
      </c>
      <c r="F102" s="151">
        <v>1830</v>
      </c>
      <c r="G102" s="151">
        <v>439</v>
      </c>
      <c r="H102" s="324"/>
      <c r="I102" s="316">
        <f>SUM(B102:E102)/F102</f>
        <v>1.2398907103825136</v>
      </c>
      <c r="J102" s="317">
        <f>(G102/SUM(B102:E102))*100</f>
        <v>19.347730277655355</v>
      </c>
      <c r="K102" s="318">
        <f>(F102/SUM(B102:E102))*100</f>
        <v>80.652269722344656</v>
      </c>
    </row>
    <row r="103" spans="1:11" ht="20.25" customHeight="1">
      <c r="A103" s="323"/>
      <c r="B103" s="151"/>
      <c r="C103" s="151"/>
      <c r="D103" s="151"/>
      <c r="E103" s="151"/>
      <c r="F103" s="151"/>
      <c r="G103" s="151"/>
      <c r="H103" s="324"/>
      <c r="I103" s="316"/>
      <c r="J103" s="317"/>
      <c r="K103" s="318"/>
    </row>
    <row r="104" spans="1:11" s="404" customFormat="1" ht="20.25" customHeight="1">
      <c r="A104" s="319" t="s">
        <v>214</v>
      </c>
      <c r="B104" s="403">
        <f t="shared" ref="B104:G104" si="36">SUM(B105:B107)</f>
        <v>2926</v>
      </c>
      <c r="C104" s="403">
        <f t="shared" si="36"/>
        <v>9182</v>
      </c>
      <c r="D104" s="403">
        <f t="shared" si="36"/>
        <v>749</v>
      </c>
      <c r="E104" s="403">
        <f t="shared" si="36"/>
        <v>25</v>
      </c>
      <c r="F104" s="403">
        <f t="shared" si="36"/>
        <v>9524</v>
      </c>
      <c r="G104" s="403">
        <f t="shared" si="36"/>
        <v>3358</v>
      </c>
      <c r="H104" s="405"/>
      <c r="I104" s="310">
        <f>SUM(B104:E104)/F104</f>
        <v>1.3525829483410332</v>
      </c>
      <c r="J104" s="311">
        <f>(G104/SUM(B104:E104))*100</f>
        <v>26.067380841484241</v>
      </c>
      <c r="K104" s="312">
        <f>(F104/SUM(B104:E104))*100</f>
        <v>73.932619158515749</v>
      </c>
    </row>
    <row r="105" spans="1:11" ht="20.25" customHeight="1">
      <c r="A105" s="323" t="s">
        <v>215</v>
      </c>
      <c r="B105" s="151">
        <v>1920</v>
      </c>
      <c r="C105" s="151">
        <v>5943</v>
      </c>
      <c r="D105" s="151">
        <v>584</v>
      </c>
      <c r="E105" s="151">
        <v>19</v>
      </c>
      <c r="F105" s="151">
        <v>6088</v>
      </c>
      <c r="G105" s="151">
        <v>2378</v>
      </c>
      <c r="H105" s="324"/>
      <c r="I105" s="316">
        <f>SUM(B105:E105)/F105</f>
        <v>1.3906044678055192</v>
      </c>
      <c r="J105" s="317">
        <f>(G105/SUM(B105:E105))*100</f>
        <v>28.088825891802504</v>
      </c>
      <c r="K105" s="318">
        <f>(F105/SUM(B105:E105))*100</f>
        <v>71.9111741081975</v>
      </c>
    </row>
    <row r="106" spans="1:11" ht="20.25" customHeight="1">
      <c r="A106" s="323" t="s">
        <v>216</v>
      </c>
      <c r="B106" s="151">
        <v>0</v>
      </c>
      <c r="C106" s="151">
        <v>635</v>
      </c>
      <c r="D106" s="151">
        <v>11</v>
      </c>
      <c r="E106" s="151">
        <v>0</v>
      </c>
      <c r="F106" s="151">
        <v>645</v>
      </c>
      <c r="G106" s="151">
        <v>1</v>
      </c>
      <c r="H106" s="324"/>
      <c r="I106" s="316">
        <f>SUM(B106:E106)/F106</f>
        <v>1.0015503875968992</v>
      </c>
      <c r="J106" s="317">
        <f>(G106/SUM(B106:E106))*100</f>
        <v>0.15479876160990713</v>
      </c>
      <c r="K106" s="318">
        <f>(F106/SUM(B106:E106))*100</f>
        <v>99.845201238390089</v>
      </c>
    </row>
    <row r="107" spans="1:11" ht="20.25" customHeight="1">
      <c r="A107" s="323" t="s">
        <v>217</v>
      </c>
      <c r="B107" s="151">
        <v>1006</v>
      </c>
      <c r="C107" s="151">
        <v>2604</v>
      </c>
      <c r="D107" s="151">
        <v>154</v>
      </c>
      <c r="E107" s="151">
        <v>6</v>
      </c>
      <c r="F107" s="151">
        <v>2791</v>
      </c>
      <c r="G107" s="151">
        <v>979</v>
      </c>
      <c r="H107" s="324"/>
      <c r="I107" s="316">
        <f>SUM(B107:E107)/F107</f>
        <v>1.3507703332139018</v>
      </c>
      <c r="J107" s="317">
        <f>(G107/SUM(B107:E107))*100</f>
        <v>25.968169761273209</v>
      </c>
      <c r="K107" s="318">
        <f>(F107/SUM(B107:E107))*100</f>
        <v>74.031830238726798</v>
      </c>
    </row>
    <row r="108" spans="1:11" ht="20.25" customHeight="1">
      <c r="A108" s="250"/>
      <c r="B108" s="325"/>
      <c r="C108" s="325"/>
      <c r="D108" s="325"/>
      <c r="E108" s="325"/>
      <c r="F108" s="325"/>
      <c r="G108" s="325"/>
      <c r="H108" s="326"/>
      <c r="I108" s="326"/>
      <c r="J108" s="326"/>
      <c r="K108" s="326"/>
    </row>
    <row r="109" spans="1:11" ht="20.25" customHeight="1">
      <c r="A109" s="39" t="s">
        <v>1072</v>
      </c>
      <c r="B109" s="286"/>
      <c r="C109" s="286"/>
    </row>
  </sheetData>
  <sheetProtection selectLockedCells="1" selectUnlockedCells="1"/>
  <mergeCells count="3">
    <mergeCell ref="A3:K3"/>
    <mergeCell ref="B5:G5"/>
    <mergeCell ref="I5:K5"/>
  </mergeCells>
  <phoneticPr fontId="0" type="noConversion"/>
  <printOptions horizontalCentered="1" verticalCentered="1"/>
  <pageMargins left="0" right="0" top="0" bottom="0" header="0.51180555555555551" footer="0.51180555555555551"/>
  <pageSetup scale="30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9"/>
  <sheetViews>
    <sheetView workbookViewId="0">
      <selection activeCell="A3" sqref="A3:Q3"/>
    </sheetView>
  </sheetViews>
  <sheetFormatPr baseColWidth="10" defaultColWidth="11.33203125" defaultRowHeight="15.6"/>
  <cols>
    <col min="1" max="1" width="27.6640625" style="1" customWidth="1"/>
    <col min="2" max="2" width="11.6640625" style="1" customWidth="1"/>
    <col min="3" max="3" width="10.88671875" style="1" customWidth="1"/>
    <col min="4" max="4" width="11.33203125" style="1" customWidth="1"/>
    <col min="5" max="5" width="11.109375" style="1" customWidth="1"/>
    <col min="6" max="6" width="10.44140625" style="1" customWidth="1"/>
    <col min="7" max="7" width="11.44140625" style="1" customWidth="1"/>
    <col min="8" max="8" width="11" style="1" customWidth="1"/>
    <col min="9" max="9" width="14.33203125" style="2" customWidth="1"/>
    <col min="10" max="10" width="12.5546875" style="1" customWidth="1"/>
    <col min="11" max="11" width="10.6640625" style="1" customWidth="1"/>
    <col min="12" max="12" width="11.109375" style="1" customWidth="1"/>
    <col min="13" max="13" width="11.6640625" style="1" customWidth="1"/>
    <col min="14" max="16384" width="11.33203125" style="1"/>
  </cols>
  <sheetData>
    <row r="1" spans="1:17">
      <c r="A1" s="3" t="s">
        <v>219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7" ht="15.75" customHeight="1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7">
      <c r="A3" s="446" t="s">
        <v>1061</v>
      </c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</row>
    <row r="4" spans="1:17" ht="15.75" customHeight="1">
      <c r="A4" s="5"/>
      <c r="B4" s="5"/>
      <c r="C4" s="5"/>
      <c r="D4" s="5"/>
      <c r="E4" s="5"/>
      <c r="F4" s="5"/>
      <c r="G4" s="5"/>
      <c r="H4" s="5"/>
      <c r="I4" s="6"/>
      <c r="J4" s="5"/>
      <c r="K4" s="5"/>
      <c r="L4" s="5"/>
      <c r="M4" s="5"/>
      <c r="N4" s="5"/>
      <c r="O4" s="5"/>
      <c r="P4" s="5"/>
      <c r="Q4" s="5"/>
    </row>
    <row r="5" spans="1:17" ht="15.75" customHeight="1">
      <c r="A5" s="443" t="s">
        <v>220</v>
      </c>
      <c r="B5" s="444" t="s">
        <v>221</v>
      </c>
      <c r="C5" s="445" t="s">
        <v>222</v>
      </c>
      <c r="D5" s="445"/>
      <c r="E5" s="445"/>
      <c r="F5" s="445"/>
      <c r="G5" s="445"/>
      <c r="H5" s="445"/>
      <c r="I5" s="445"/>
      <c r="J5" s="445"/>
      <c r="K5" s="445"/>
      <c r="L5" s="445"/>
      <c r="M5" s="445"/>
      <c r="N5" s="445"/>
      <c r="O5" s="445"/>
      <c r="P5" s="445"/>
      <c r="Q5" s="445"/>
    </row>
    <row r="6" spans="1:17" ht="38.25" customHeight="1">
      <c r="A6" s="443"/>
      <c r="B6" s="444"/>
      <c r="C6" s="42" t="s">
        <v>223</v>
      </c>
      <c r="D6" s="7" t="s">
        <v>224</v>
      </c>
      <c r="E6" s="7" t="s">
        <v>225</v>
      </c>
      <c r="F6" s="46" t="s">
        <v>226</v>
      </c>
      <c r="G6" s="8" t="s">
        <v>227</v>
      </c>
      <c r="H6" s="8" t="s">
        <v>228</v>
      </c>
      <c r="I6" s="7" t="s">
        <v>229</v>
      </c>
      <c r="J6" s="9" t="s">
        <v>230</v>
      </c>
      <c r="K6" s="9" t="s">
        <v>231</v>
      </c>
      <c r="L6" s="9" t="s">
        <v>232</v>
      </c>
      <c r="M6" s="8" t="s">
        <v>233</v>
      </c>
      <c r="N6" s="7" t="s">
        <v>234</v>
      </c>
      <c r="O6" s="7" t="s">
        <v>235</v>
      </c>
      <c r="P6" s="7" t="s">
        <v>236</v>
      </c>
      <c r="Q6" s="8" t="s">
        <v>237</v>
      </c>
    </row>
    <row r="7" spans="1:17" ht="15.75" customHeight="1">
      <c r="A7" s="10"/>
      <c r="B7" s="10"/>
      <c r="C7" s="14"/>
      <c r="D7" s="13"/>
      <c r="E7" s="13"/>
      <c r="F7" s="47"/>
      <c r="G7" s="48"/>
      <c r="H7" s="13"/>
      <c r="I7" s="49"/>
      <c r="J7" s="12"/>
      <c r="K7" s="12"/>
      <c r="L7" s="49"/>
      <c r="M7" s="49"/>
      <c r="N7" s="49"/>
      <c r="O7" s="49"/>
      <c r="P7" s="11"/>
      <c r="Q7" s="43"/>
    </row>
    <row r="8" spans="1:17">
      <c r="A8" s="16" t="s">
        <v>221</v>
      </c>
      <c r="B8" s="17">
        <f t="shared" ref="B8:Q8" si="0">SUM(B10:B24)</f>
        <v>665930</v>
      </c>
      <c r="C8" s="17">
        <f t="shared" si="0"/>
        <v>181167</v>
      </c>
      <c r="D8" s="17">
        <f t="shared" si="0"/>
        <v>16645</v>
      </c>
      <c r="E8" s="17">
        <f t="shared" si="0"/>
        <v>164522</v>
      </c>
      <c r="F8" s="17">
        <f t="shared" si="0"/>
        <v>3058</v>
      </c>
      <c r="G8" s="17">
        <f t="shared" si="0"/>
        <v>14758</v>
      </c>
      <c r="H8" s="17">
        <f t="shared" si="0"/>
        <v>29922</v>
      </c>
      <c r="I8" s="17">
        <f t="shared" si="0"/>
        <v>40001</v>
      </c>
      <c r="J8" s="17">
        <f t="shared" si="0"/>
        <v>48607</v>
      </c>
      <c r="K8" s="17">
        <f t="shared" si="0"/>
        <v>31450</v>
      </c>
      <c r="L8" s="17">
        <f t="shared" si="0"/>
        <v>167651</v>
      </c>
      <c r="M8" s="17">
        <f>SUM(M10:M24)</f>
        <v>9317</v>
      </c>
      <c r="N8" s="17">
        <f t="shared" si="0"/>
        <v>39356</v>
      </c>
      <c r="O8" s="17">
        <f t="shared" si="0"/>
        <v>81515</v>
      </c>
      <c r="P8" s="17">
        <f t="shared" si="0"/>
        <v>17967</v>
      </c>
      <c r="Q8" s="17">
        <f t="shared" si="0"/>
        <v>1161</v>
      </c>
    </row>
    <row r="9" spans="1:17" ht="15.75" customHeight="1">
      <c r="A9" s="10"/>
      <c r="B9" s="25"/>
      <c r="C9" s="19"/>
      <c r="D9" s="20"/>
      <c r="E9" s="19"/>
      <c r="F9" s="26"/>
      <c r="G9" s="50"/>
      <c r="H9" s="20"/>
      <c r="I9" s="51"/>
      <c r="J9" s="20"/>
      <c r="K9" s="20"/>
      <c r="L9" s="26"/>
      <c r="M9" s="26"/>
      <c r="N9" s="26"/>
      <c r="O9" s="26"/>
      <c r="P9" s="52"/>
      <c r="Q9" s="19"/>
    </row>
    <row r="10" spans="1:17" ht="15.75" customHeight="1">
      <c r="A10" s="22" t="s">
        <v>238</v>
      </c>
      <c r="B10" s="18">
        <f t="shared" ref="B10:B24" si="1">SUM(C10,F10:Q10)</f>
        <v>134466</v>
      </c>
      <c r="C10" s="18">
        <f>SUM(D10:E10)</f>
        <v>55972</v>
      </c>
      <c r="D10" s="26">
        <v>3504</v>
      </c>
      <c r="E10" s="18">
        <v>52468</v>
      </c>
      <c r="F10" s="18" t="s">
        <v>1048</v>
      </c>
      <c r="G10" s="18" t="s">
        <v>1048</v>
      </c>
      <c r="H10" s="25">
        <v>4074</v>
      </c>
      <c r="I10" s="18">
        <v>2950</v>
      </c>
      <c r="J10" s="18">
        <v>2618</v>
      </c>
      <c r="K10" s="18">
        <v>3451</v>
      </c>
      <c r="L10" s="18">
        <f>69+23093</f>
        <v>23162</v>
      </c>
      <c r="M10" s="26">
        <v>3289</v>
      </c>
      <c r="N10" s="18">
        <v>6374</v>
      </c>
      <c r="O10" s="18">
        <v>13448</v>
      </c>
      <c r="P10" s="18">
        <v>17967</v>
      </c>
      <c r="Q10" s="23">
        <v>1161</v>
      </c>
    </row>
    <row r="11" spans="1:17" ht="15.75" customHeight="1">
      <c r="A11" s="22" t="s">
        <v>240</v>
      </c>
      <c r="B11" s="18">
        <f t="shared" si="1"/>
        <v>101428</v>
      </c>
      <c r="C11" s="18">
        <f t="shared" ref="C11:C24" si="2">SUM(D11:E11)</f>
        <v>41175</v>
      </c>
      <c r="D11" s="26">
        <v>1879</v>
      </c>
      <c r="E11" s="18">
        <v>39296</v>
      </c>
      <c r="F11" s="26">
        <v>185</v>
      </c>
      <c r="G11" s="18">
        <v>14758</v>
      </c>
      <c r="H11" s="25">
        <v>2839</v>
      </c>
      <c r="I11" s="18">
        <v>3161</v>
      </c>
      <c r="J11" s="18">
        <v>4698</v>
      </c>
      <c r="K11" s="18">
        <v>7770</v>
      </c>
      <c r="L11" s="18">
        <f>48+13044</f>
        <v>13092</v>
      </c>
      <c r="M11" s="18" t="s">
        <v>1048</v>
      </c>
      <c r="N11" s="25">
        <v>2083</v>
      </c>
      <c r="O11" s="18">
        <v>11667</v>
      </c>
      <c r="P11" s="18" t="s">
        <v>1048</v>
      </c>
      <c r="Q11" s="18" t="s">
        <v>1048</v>
      </c>
    </row>
    <row r="12" spans="1:17" ht="15.75" customHeight="1">
      <c r="A12" s="22" t="s">
        <v>241</v>
      </c>
      <c r="B12" s="18">
        <f t="shared" si="1"/>
        <v>41947</v>
      </c>
      <c r="C12" s="18">
        <f t="shared" si="2"/>
        <v>1394</v>
      </c>
      <c r="D12" s="26">
        <v>1394</v>
      </c>
      <c r="E12" s="18" t="s">
        <v>1048</v>
      </c>
      <c r="F12" s="18" t="s">
        <v>1048</v>
      </c>
      <c r="G12" s="18" t="s">
        <v>1048</v>
      </c>
      <c r="H12" s="25">
        <v>2612</v>
      </c>
      <c r="I12" s="18">
        <v>4833</v>
      </c>
      <c r="J12" s="18">
        <v>5302</v>
      </c>
      <c r="K12" s="18">
        <v>881</v>
      </c>
      <c r="L12" s="18">
        <f>25+12600</f>
        <v>12625</v>
      </c>
      <c r="M12" s="18" t="s">
        <v>1048</v>
      </c>
      <c r="N12" s="18">
        <v>3185</v>
      </c>
      <c r="O12" s="18">
        <v>11115</v>
      </c>
      <c r="P12" s="18" t="s">
        <v>1048</v>
      </c>
      <c r="Q12" s="18" t="s">
        <v>1048</v>
      </c>
    </row>
    <row r="13" spans="1:17" ht="15.75" customHeight="1">
      <c r="A13" s="22" t="s">
        <v>242</v>
      </c>
      <c r="B13" s="18">
        <f t="shared" si="1"/>
        <v>61124</v>
      </c>
      <c r="C13" s="18">
        <f t="shared" si="2"/>
        <v>22646</v>
      </c>
      <c r="D13" s="26">
        <v>1219</v>
      </c>
      <c r="E13" s="18">
        <v>21427</v>
      </c>
      <c r="F13" s="26">
        <v>231</v>
      </c>
      <c r="G13" s="18" t="s">
        <v>1048</v>
      </c>
      <c r="H13" s="25">
        <v>2503</v>
      </c>
      <c r="I13" s="18">
        <v>2890</v>
      </c>
      <c r="J13" s="18">
        <v>4285</v>
      </c>
      <c r="K13" s="18">
        <v>2481</v>
      </c>
      <c r="L13" s="18">
        <f>26+14628</f>
        <v>14654</v>
      </c>
      <c r="M13" s="26">
        <v>599</v>
      </c>
      <c r="N13" s="18">
        <v>2621</v>
      </c>
      <c r="O13" s="18">
        <v>8214</v>
      </c>
      <c r="P13" s="18" t="s">
        <v>1048</v>
      </c>
      <c r="Q13" s="18" t="s">
        <v>1048</v>
      </c>
    </row>
    <row r="14" spans="1:17" ht="15.75" customHeight="1">
      <c r="A14" s="22" t="s">
        <v>243</v>
      </c>
      <c r="B14" s="18">
        <f t="shared" si="1"/>
        <v>24500</v>
      </c>
      <c r="C14" s="18">
        <f t="shared" si="2"/>
        <v>3002</v>
      </c>
      <c r="D14" s="26">
        <v>595</v>
      </c>
      <c r="E14" s="18">
        <v>2407</v>
      </c>
      <c r="F14" s="26">
        <v>414</v>
      </c>
      <c r="G14" s="18" t="s">
        <v>1048</v>
      </c>
      <c r="H14" s="25">
        <v>1474</v>
      </c>
      <c r="I14" s="18">
        <v>2400</v>
      </c>
      <c r="J14" s="18">
        <v>2585</v>
      </c>
      <c r="K14" s="18">
        <v>1017</v>
      </c>
      <c r="L14" s="18">
        <f>6+9583</f>
        <v>9589</v>
      </c>
      <c r="M14" s="26">
        <v>496</v>
      </c>
      <c r="N14" s="18">
        <v>1771</v>
      </c>
      <c r="O14" s="18">
        <v>1752</v>
      </c>
      <c r="P14" s="18" t="s">
        <v>1048</v>
      </c>
      <c r="Q14" s="18" t="s">
        <v>1048</v>
      </c>
    </row>
    <row r="15" spans="1:17" ht="15.75" customHeight="1">
      <c r="A15" s="22" t="s">
        <v>244</v>
      </c>
      <c r="B15" s="18">
        <f t="shared" si="1"/>
        <v>29140</v>
      </c>
      <c r="C15" s="18">
        <f t="shared" si="2"/>
        <v>9339</v>
      </c>
      <c r="D15" s="26">
        <v>847</v>
      </c>
      <c r="E15" s="18">
        <v>8492</v>
      </c>
      <c r="F15" s="26">
        <v>175</v>
      </c>
      <c r="G15" s="18" t="s">
        <v>1048</v>
      </c>
      <c r="H15" s="25">
        <v>1697</v>
      </c>
      <c r="I15" s="18">
        <v>2055</v>
      </c>
      <c r="J15" s="18">
        <v>2702</v>
      </c>
      <c r="K15" s="18">
        <v>1381</v>
      </c>
      <c r="L15" s="18">
        <f>22+5762</f>
        <v>5784</v>
      </c>
      <c r="M15" s="26">
        <v>333</v>
      </c>
      <c r="N15" s="18">
        <v>1941</v>
      </c>
      <c r="O15" s="18">
        <v>3733</v>
      </c>
      <c r="P15" s="18" t="s">
        <v>1048</v>
      </c>
      <c r="Q15" s="18" t="s">
        <v>1048</v>
      </c>
    </row>
    <row r="16" spans="1:17" ht="15.75" customHeight="1">
      <c r="A16" s="22" t="s">
        <v>245</v>
      </c>
      <c r="B16" s="18">
        <f t="shared" si="1"/>
        <v>57463</v>
      </c>
      <c r="C16" s="18">
        <f t="shared" si="2"/>
        <v>13359</v>
      </c>
      <c r="D16" s="26">
        <v>1649</v>
      </c>
      <c r="E16" s="18">
        <v>11710</v>
      </c>
      <c r="F16" s="26">
        <v>286</v>
      </c>
      <c r="G16" s="18" t="s">
        <v>1048</v>
      </c>
      <c r="H16" s="25">
        <v>3676</v>
      </c>
      <c r="I16" s="18">
        <v>4600</v>
      </c>
      <c r="J16" s="18">
        <v>4533</v>
      </c>
      <c r="K16" s="18">
        <v>3296</v>
      </c>
      <c r="L16" s="18">
        <f>34+15329</f>
        <v>15363</v>
      </c>
      <c r="M16" s="26">
        <v>900</v>
      </c>
      <c r="N16" s="18">
        <v>4271</v>
      </c>
      <c r="O16" s="18">
        <v>7179</v>
      </c>
      <c r="P16" s="18" t="s">
        <v>1048</v>
      </c>
      <c r="Q16" s="18" t="s">
        <v>1048</v>
      </c>
    </row>
    <row r="17" spans="1:17" ht="15.75" customHeight="1">
      <c r="A17" s="22" t="s">
        <v>246</v>
      </c>
      <c r="B17" s="18">
        <f t="shared" si="1"/>
        <v>54006</v>
      </c>
      <c r="C17" s="18">
        <f t="shared" si="2"/>
        <v>9892</v>
      </c>
      <c r="D17" s="26">
        <v>1704</v>
      </c>
      <c r="E17" s="18">
        <v>8188</v>
      </c>
      <c r="F17" s="18" t="s">
        <v>1048</v>
      </c>
      <c r="G17" s="18" t="s">
        <v>1048</v>
      </c>
      <c r="H17" s="25">
        <v>3111</v>
      </c>
      <c r="I17" s="18">
        <v>3749</v>
      </c>
      <c r="J17" s="18">
        <v>4654</v>
      </c>
      <c r="K17" s="18">
        <v>2751</v>
      </c>
      <c r="L17" s="18">
        <f>40+15000</f>
        <v>15040</v>
      </c>
      <c r="M17" s="26">
        <v>711</v>
      </c>
      <c r="N17" s="18">
        <v>3137</v>
      </c>
      <c r="O17" s="18">
        <v>10961</v>
      </c>
      <c r="P17" s="18" t="s">
        <v>1048</v>
      </c>
      <c r="Q17" s="18" t="s">
        <v>1048</v>
      </c>
    </row>
    <row r="18" spans="1:17" ht="15.75" customHeight="1">
      <c r="A18" s="22" t="s">
        <v>247</v>
      </c>
      <c r="B18" s="18">
        <f t="shared" si="1"/>
        <v>21768</v>
      </c>
      <c r="C18" s="18">
        <f t="shared" si="2"/>
        <v>2737</v>
      </c>
      <c r="D18" s="26">
        <v>545</v>
      </c>
      <c r="E18" s="18">
        <v>2192</v>
      </c>
      <c r="F18" s="26">
        <v>207</v>
      </c>
      <c r="G18" s="18" t="s">
        <v>1048</v>
      </c>
      <c r="H18" s="25">
        <v>1135</v>
      </c>
      <c r="I18" s="18">
        <v>1796</v>
      </c>
      <c r="J18" s="18">
        <v>2496</v>
      </c>
      <c r="K18" s="18">
        <v>1094</v>
      </c>
      <c r="L18" s="18">
        <f>18+8047</f>
        <v>8065</v>
      </c>
      <c r="M18" s="26">
        <v>465</v>
      </c>
      <c r="N18" s="18">
        <v>1986</v>
      </c>
      <c r="O18" s="18">
        <v>1787</v>
      </c>
      <c r="P18" s="18" t="s">
        <v>1048</v>
      </c>
      <c r="Q18" s="18" t="s">
        <v>1048</v>
      </c>
    </row>
    <row r="19" spans="1:17" ht="15.75" customHeight="1">
      <c r="A19" s="22" t="s">
        <v>248</v>
      </c>
      <c r="B19" s="18">
        <f t="shared" si="1"/>
        <v>22891</v>
      </c>
      <c r="C19" s="18">
        <f t="shared" si="2"/>
        <v>3793</v>
      </c>
      <c r="D19" s="26">
        <v>792</v>
      </c>
      <c r="E19" s="18">
        <v>3001</v>
      </c>
      <c r="F19" s="26">
        <v>275</v>
      </c>
      <c r="G19" s="18" t="s">
        <v>1048</v>
      </c>
      <c r="H19" s="25">
        <v>787</v>
      </c>
      <c r="I19" s="18">
        <v>1445</v>
      </c>
      <c r="J19" s="18">
        <v>3059</v>
      </c>
      <c r="K19" s="18">
        <v>1121</v>
      </c>
      <c r="L19" s="18">
        <f>32+8503</f>
        <v>8535</v>
      </c>
      <c r="M19" s="26">
        <v>312</v>
      </c>
      <c r="N19" s="18">
        <v>2133</v>
      </c>
      <c r="O19" s="18">
        <v>1431</v>
      </c>
      <c r="P19" s="18" t="s">
        <v>1048</v>
      </c>
      <c r="Q19" s="18" t="s">
        <v>1048</v>
      </c>
    </row>
    <row r="20" spans="1:17" ht="15.75" customHeight="1">
      <c r="A20" s="22" t="s">
        <v>249</v>
      </c>
      <c r="B20" s="18">
        <f t="shared" si="1"/>
        <v>30691</v>
      </c>
      <c r="C20" s="18">
        <f t="shared" si="2"/>
        <v>2909</v>
      </c>
      <c r="D20" s="26">
        <v>746</v>
      </c>
      <c r="E20" s="18">
        <v>2163</v>
      </c>
      <c r="F20" s="26">
        <v>99</v>
      </c>
      <c r="G20" s="18" t="s">
        <v>1048</v>
      </c>
      <c r="H20" s="25">
        <v>1500</v>
      </c>
      <c r="I20" s="18">
        <v>2566</v>
      </c>
      <c r="J20" s="18">
        <v>3382</v>
      </c>
      <c r="K20" s="18">
        <v>1842</v>
      </c>
      <c r="L20" s="18">
        <f>28+11967</f>
        <v>11995</v>
      </c>
      <c r="M20" s="26">
        <v>459</v>
      </c>
      <c r="N20" s="18">
        <v>2648</v>
      </c>
      <c r="O20" s="18">
        <v>3291</v>
      </c>
      <c r="P20" s="18" t="s">
        <v>1048</v>
      </c>
      <c r="Q20" s="18" t="s">
        <v>1048</v>
      </c>
    </row>
    <row r="21" spans="1:17" ht="15.75" customHeight="1">
      <c r="A21" s="22" t="s">
        <v>250</v>
      </c>
      <c r="B21" s="18">
        <f t="shared" si="1"/>
        <v>21632</v>
      </c>
      <c r="C21" s="18">
        <f t="shared" si="2"/>
        <v>6695</v>
      </c>
      <c r="D21" s="26">
        <v>403</v>
      </c>
      <c r="E21" s="18">
        <v>6292</v>
      </c>
      <c r="F21" s="26">
        <v>235</v>
      </c>
      <c r="G21" s="18" t="s">
        <v>1048</v>
      </c>
      <c r="H21" s="25">
        <v>1096</v>
      </c>
      <c r="I21" s="18">
        <v>1420</v>
      </c>
      <c r="J21" s="18">
        <v>1927</v>
      </c>
      <c r="K21" s="18">
        <v>773</v>
      </c>
      <c r="L21" s="18">
        <f>14+5833</f>
        <v>5847</v>
      </c>
      <c r="M21" s="26">
        <v>365</v>
      </c>
      <c r="N21" s="18">
        <v>1336</v>
      </c>
      <c r="O21" s="18">
        <v>1938</v>
      </c>
      <c r="P21" s="18" t="s">
        <v>1048</v>
      </c>
      <c r="Q21" s="18" t="s">
        <v>1048</v>
      </c>
    </row>
    <row r="22" spans="1:17" ht="15.75" customHeight="1">
      <c r="A22" s="22" t="s">
        <v>251</v>
      </c>
      <c r="B22" s="18">
        <f t="shared" si="1"/>
        <v>18235</v>
      </c>
      <c r="C22" s="18">
        <f t="shared" si="2"/>
        <v>1811</v>
      </c>
      <c r="D22" s="26">
        <v>429</v>
      </c>
      <c r="E22" s="18">
        <v>1382</v>
      </c>
      <c r="F22" s="26">
        <v>287</v>
      </c>
      <c r="G22" s="18" t="s">
        <v>1048</v>
      </c>
      <c r="H22" s="25">
        <v>1039</v>
      </c>
      <c r="I22" s="18">
        <v>1515</v>
      </c>
      <c r="J22" s="18">
        <v>2535</v>
      </c>
      <c r="K22" s="18">
        <v>625</v>
      </c>
      <c r="L22" s="18">
        <f>15+7366</f>
        <v>7381</v>
      </c>
      <c r="M22" s="26">
        <v>346</v>
      </c>
      <c r="N22" s="18">
        <v>1534</v>
      </c>
      <c r="O22" s="18">
        <v>1162</v>
      </c>
      <c r="P22" s="18" t="s">
        <v>1048</v>
      </c>
      <c r="Q22" s="18" t="s">
        <v>1048</v>
      </c>
    </row>
    <row r="23" spans="1:17" ht="15.75" customHeight="1">
      <c r="A23" s="22" t="s">
        <v>252</v>
      </c>
      <c r="B23" s="18">
        <f t="shared" si="1"/>
        <v>21182</v>
      </c>
      <c r="C23" s="18">
        <f t="shared" si="2"/>
        <v>3012</v>
      </c>
      <c r="D23" s="26">
        <v>479</v>
      </c>
      <c r="E23" s="18">
        <v>2533</v>
      </c>
      <c r="F23" s="26">
        <v>373</v>
      </c>
      <c r="G23" s="18" t="s">
        <v>1048</v>
      </c>
      <c r="H23" s="25">
        <v>872</v>
      </c>
      <c r="I23" s="18">
        <v>2000</v>
      </c>
      <c r="J23" s="18">
        <v>1863</v>
      </c>
      <c r="K23" s="18">
        <v>1246</v>
      </c>
      <c r="L23" s="18">
        <f>9+7315</f>
        <v>7324</v>
      </c>
      <c r="M23" s="26">
        <v>474</v>
      </c>
      <c r="N23" s="18">
        <v>2210</v>
      </c>
      <c r="O23" s="18">
        <v>1808</v>
      </c>
      <c r="P23" s="18" t="s">
        <v>1048</v>
      </c>
      <c r="Q23" s="18" t="s">
        <v>1048</v>
      </c>
    </row>
    <row r="24" spans="1:17" ht="15.75" customHeight="1">
      <c r="A24" s="22" t="s">
        <v>253</v>
      </c>
      <c r="B24" s="18">
        <f t="shared" si="1"/>
        <v>25457</v>
      </c>
      <c r="C24" s="18">
        <f t="shared" si="2"/>
        <v>3431</v>
      </c>
      <c r="D24" s="26">
        <v>460</v>
      </c>
      <c r="E24" s="18">
        <v>2971</v>
      </c>
      <c r="F24" s="26">
        <v>291</v>
      </c>
      <c r="G24" s="18" t="s">
        <v>1048</v>
      </c>
      <c r="H24" s="25">
        <v>1507</v>
      </c>
      <c r="I24" s="18">
        <v>2621</v>
      </c>
      <c r="J24" s="18">
        <v>1968</v>
      </c>
      <c r="K24" s="18">
        <v>1721</v>
      </c>
      <c r="L24" s="18">
        <f>13+9182</f>
        <v>9195</v>
      </c>
      <c r="M24" s="26">
        <v>568</v>
      </c>
      <c r="N24" s="18">
        <v>2126</v>
      </c>
      <c r="O24" s="18">
        <v>2029</v>
      </c>
      <c r="P24" s="18" t="s">
        <v>1048</v>
      </c>
      <c r="Q24" s="18" t="s">
        <v>1048</v>
      </c>
    </row>
    <row r="25" spans="1:17" s="35" customFormat="1" ht="15.75" customHeight="1">
      <c r="A25" s="27"/>
      <c r="B25" s="28"/>
      <c r="C25" s="29"/>
      <c r="D25" s="30"/>
      <c r="E25" s="29"/>
      <c r="F25" s="31"/>
      <c r="G25" s="32"/>
      <c r="H25" s="33"/>
      <c r="I25" s="33"/>
      <c r="J25" s="33"/>
      <c r="K25" s="33"/>
      <c r="L25" s="34"/>
      <c r="M25" s="34"/>
      <c r="N25" s="33"/>
      <c r="O25" s="34"/>
      <c r="P25" s="33"/>
      <c r="Q25" s="44"/>
    </row>
    <row r="26" spans="1:17" ht="15.75" customHeight="1">
      <c r="A26" s="36" t="s">
        <v>254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</row>
    <row r="27" spans="1:17" ht="15.75" customHeight="1">
      <c r="A27" s="36" t="s">
        <v>255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</row>
    <row r="28" spans="1:17" ht="15.75" customHeight="1">
      <c r="A28" s="36" t="s">
        <v>256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</row>
    <row r="29" spans="1:17" ht="15.75" customHeight="1">
      <c r="A29" s="39" t="s">
        <v>1072</v>
      </c>
      <c r="B29" s="40"/>
      <c r="C29" s="40"/>
      <c r="D29" s="40"/>
      <c r="E29" s="40"/>
      <c r="F29" s="40"/>
      <c r="G29" s="40"/>
      <c r="H29" s="40"/>
      <c r="I29" s="39"/>
      <c r="J29" s="39"/>
      <c r="K29" s="39"/>
      <c r="L29" s="39"/>
      <c r="M29" s="39"/>
    </row>
  </sheetData>
  <sheetProtection selectLockedCells="1" selectUnlockedCells="1"/>
  <mergeCells count="4">
    <mergeCell ref="A5:A6"/>
    <mergeCell ref="B5:B6"/>
    <mergeCell ref="C5:Q5"/>
    <mergeCell ref="A3:Q3"/>
  </mergeCells>
  <phoneticPr fontId="0" type="noConversion"/>
  <printOptions horizontalCentered="1" verticalCentered="1"/>
  <pageMargins left="0.27986111111111112" right="0.2902777777777778" top="0" bottom="0" header="0.51180555555555551" footer="0.51180555555555551"/>
  <pageSetup firstPageNumber="0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K79"/>
  <sheetViews>
    <sheetView workbookViewId="0">
      <selection activeCell="A3" sqref="A3:K3"/>
    </sheetView>
  </sheetViews>
  <sheetFormatPr baseColWidth="10" defaultColWidth="11.44140625" defaultRowHeight="21"/>
  <cols>
    <col min="1" max="1" width="93.33203125" style="221" customWidth="1"/>
    <col min="2" max="2" width="17.33203125" style="221" customWidth="1"/>
    <col min="3" max="3" width="16.6640625" style="221" customWidth="1"/>
    <col min="4" max="4" width="18.6640625" style="221" customWidth="1"/>
    <col min="5" max="5" width="18.88671875" style="221" customWidth="1"/>
    <col min="6" max="6" width="18.33203125" style="221" customWidth="1"/>
    <col min="7" max="7" width="17" style="221" customWidth="1"/>
    <col min="8" max="8" width="5.6640625" style="152" customWidth="1"/>
    <col min="9" max="11" width="18.6640625" style="152" customWidth="1"/>
    <col min="12" max="16384" width="11.44140625" style="221"/>
  </cols>
  <sheetData>
    <row r="1" spans="1:11">
      <c r="A1" s="441" t="s">
        <v>218</v>
      </c>
      <c r="B1" s="154"/>
      <c r="C1" s="154"/>
      <c r="D1" s="154"/>
      <c r="E1" s="154"/>
      <c r="F1" s="154"/>
      <c r="G1" s="154"/>
    </row>
    <row r="2" spans="1:11">
      <c r="A2" s="247"/>
      <c r="B2" s="247"/>
      <c r="C2" s="247"/>
      <c r="D2" s="247"/>
      <c r="E2" s="247"/>
      <c r="F2" s="247"/>
      <c r="G2" s="247"/>
    </row>
    <row r="3" spans="1:11">
      <c r="A3" s="457" t="s">
        <v>1066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</row>
    <row r="4" spans="1:11">
      <c r="A4" s="276"/>
      <c r="B4" s="276"/>
      <c r="C4" s="276"/>
      <c r="D4" s="276"/>
      <c r="E4" s="276"/>
      <c r="F4" s="276"/>
      <c r="G4" s="276"/>
      <c r="H4" s="160"/>
      <c r="I4" s="160"/>
      <c r="J4" s="160"/>
      <c r="K4" s="160"/>
    </row>
    <row r="5" spans="1:11" ht="20.25" customHeight="1">
      <c r="A5" s="327"/>
      <c r="B5" s="458" t="s">
        <v>535</v>
      </c>
      <c r="C5" s="458"/>
      <c r="D5" s="458"/>
      <c r="E5" s="458"/>
      <c r="F5" s="458"/>
      <c r="G5" s="458"/>
      <c r="H5" s="162"/>
      <c r="I5" s="459" t="s">
        <v>536</v>
      </c>
      <c r="J5" s="459"/>
      <c r="K5" s="459"/>
    </row>
    <row r="6" spans="1:11">
      <c r="A6" s="186" t="s">
        <v>322</v>
      </c>
      <c r="B6" s="163" t="s">
        <v>538</v>
      </c>
      <c r="C6" s="169" t="s">
        <v>539</v>
      </c>
      <c r="D6" s="163" t="s">
        <v>539</v>
      </c>
      <c r="E6" s="169" t="s">
        <v>153</v>
      </c>
      <c r="F6" s="163" t="s">
        <v>539</v>
      </c>
      <c r="G6" s="170" t="s">
        <v>538</v>
      </c>
      <c r="H6" s="166"/>
      <c r="I6" s="163" t="s">
        <v>541</v>
      </c>
      <c r="J6" s="165" t="s">
        <v>542</v>
      </c>
      <c r="K6" s="164" t="s">
        <v>542</v>
      </c>
    </row>
    <row r="7" spans="1:11">
      <c r="A7" s="328"/>
      <c r="B7" s="207">
        <v>42370</v>
      </c>
      <c r="C7" s="169" t="s">
        <v>543</v>
      </c>
      <c r="D7" s="163" t="s">
        <v>544</v>
      </c>
      <c r="E7" s="173" t="s">
        <v>154</v>
      </c>
      <c r="F7" s="163" t="s">
        <v>545</v>
      </c>
      <c r="G7" s="206">
        <v>42735</v>
      </c>
      <c r="H7" s="171"/>
      <c r="I7" s="172" t="s">
        <v>547</v>
      </c>
      <c r="J7" s="173" t="s">
        <v>548</v>
      </c>
      <c r="K7" s="232" t="s">
        <v>549</v>
      </c>
    </row>
    <row r="8" spans="1:11">
      <c r="A8" s="329"/>
      <c r="B8" s="330"/>
      <c r="C8" s="330"/>
      <c r="D8" s="330"/>
      <c r="E8" s="330"/>
      <c r="F8" s="330"/>
      <c r="G8" s="331"/>
      <c r="H8" s="162"/>
      <c r="I8" s="179"/>
      <c r="J8" s="162"/>
      <c r="K8" s="270"/>
    </row>
    <row r="9" spans="1:11">
      <c r="A9" s="180" t="s">
        <v>868</v>
      </c>
      <c r="B9" s="181">
        <f t="shared" ref="B9:G9" si="0">SUM(B11,B15,B18,B23,B27,B33,B37,B42,B47,B51,B55,B61,B65,B71,B75)</f>
        <v>34293</v>
      </c>
      <c r="C9" s="181">
        <f t="shared" si="0"/>
        <v>99186</v>
      </c>
      <c r="D9" s="181">
        <f t="shared" si="0"/>
        <v>8759</v>
      </c>
      <c r="E9" s="181">
        <f t="shared" si="0"/>
        <v>318</v>
      </c>
      <c r="F9" s="181">
        <f t="shared" si="0"/>
        <v>116465</v>
      </c>
      <c r="G9" s="181">
        <f t="shared" si="0"/>
        <v>26091</v>
      </c>
      <c r="H9" s="332"/>
      <c r="I9" s="183">
        <f>SUM(B9:E9)/F9</f>
        <v>1.2240243850083716</v>
      </c>
      <c r="J9" s="184">
        <f>(G9/SUM(B9:E9))*100</f>
        <v>18.302281208788127</v>
      </c>
      <c r="K9" s="271">
        <f>(F9/SUM(B9:E9))*100</f>
        <v>81.697718791211869</v>
      </c>
    </row>
    <row r="10" spans="1:11">
      <c r="A10" s="186"/>
      <c r="B10" s="181"/>
      <c r="C10" s="181"/>
      <c r="D10" s="181"/>
      <c r="E10" s="181"/>
      <c r="F10" s="181"/>
      <c r="G10" s="181"/>
      <c r="H10" s="332"/>
      <c r="I10" s="187"/>
      <c r="J10" s="188"/>
      <c r="K10" s="272"/>
    </row>
    <row r="11" spans="1:11" s="247" customFormat="1">
      <c r="A11" s="190" t="s">
        <v>551</v>
      </c>
      <c r="B11" s="181">
        <f t="shared" ref="B11:G11" si="1">SUM(B12:B13)</f>
        <v>5587</v>
      </c>
      <c r="C11" s="181">
        <f t="shared" si="1"/>
        <v>10724</v>
      </c>
      <c r="D11" s="181">
        <f t="shared" si="1"/>
        <v>1014</v>
      </c>
      <c r="E11" s="181">
        <f t="shared" si="1"/>
        <v>9</v>
      </c>
      <c r="F11" s="181">
        <f t="shared" si="1"/>
        <v>13705</v>
      </c>
      <c r="G11" s="181">
        <f t="shared" si="1"/>
        <v>3629</v>
      </c>
      <c r="H11" s="332"/>
      <c r="I11" s="183">
        <f>SUM(B11:E11)/F11</f>
        <v>1.2647938708500548</v>
      </c>
      <c r="J11" s="184">
        <f>(G11/SUM(B11:E11))*100</f>
        <v>20.93573324102919</v>
      </c>
      <c r="K11" s="271">
        <f>(F11/SUM(B11:E11))*100</f>
        <v>79.064266758970817</v>
      </c>
    </row>
    <row r="12" spans="1:11">
      <c r="A12" s="191" t="s">
        <v>323</v>
      </c>
      <c r="B12" s="182">
        <v>5267</v>
      </c>
      <c r="C12" s="182">
        <v>9793</v>
      </c>
      <c r="D12" s="182">
        <v>891</v>
      </c>
      <c r="E12" s="182">
        <v>3</v>
      </c>
      <c r="F12" s="182">
        <v>12582</v>
      </c>
      <c r="G12" s="182">
        <v>3372</v>
      </c>
      <c r="H12" s="332"/>
      <c r="I12" s="187">
        <f>SUM(B12:E12)/F12</f>
        <v>1.268001907486886</v>
      </c>
      <c r="J12" s="188">
        <f>(G12/SUM(B12:E12))*100</f>
        <v>21.135765325310267</v>
      </c>
      <c r="K12" s="272">
        <f>(F12/SUM(B12:E12))*100</f>
        <v>78.86423467468974</v>
      </c>
    </row>
    <row r="13" spans="1:11">
      <c r="A13" s="191" t="s">
        <v>324</v>
      </c>
      <c r="B13" s="182">
        <v>320</v>
      </c>
      <c r="C13" s="182">
        <v>931</v>
      </c>
      <c r="D13" s="182">
        <v>123</v>
      </c>
      <c r="E13" s="182">
        <v>6</v>
      </c>
      <c r="F13" s="182">
        <v>1123</v>
      </c>
      <c r="G13" s="182">
        <v>257</v>
      </c>
      <c r="H13" s="332"/>
      <c r="I13" s="187">
        <f>SUM(B13:E13)/F13</f>
        <v>1.2288512911843277</v>
      </c>
      <c r="J13" s="188">
        <f>(G13/SUM(B13:E13))*100</f>
        <v>18.623188405797102</v>
      </c>
      <c r="K13" s="272">
        <f>(F13/SUM(B13:E13))*100</f>
        <v>81.376811594202906</v>
      </c>
    </row>
    <row r="14" spans="1:11">
      <c r="A14" s="213"/>
      <c r="B14" s="182"/>
      <c r="C14" s="182"/>
      <c r="D14" s="182"/>
      <c r="E14" s="182"/>
      <c r="F14" s="182"/>
      <c r="G14" s="182"/>
      <c r="H14" s="332"/>
      <c r="I14" s="187"/>
      <c r="J14" s="188"/>
      <c r="K14" s="272"/>
    </row>
    <row r="15" spans="1:11" s="247" customFormat="1" ht="20.399999999999999">
      <c r="A15" s="215" t="s">
        <v>268</v>
      </c>
      <c r="B15" s="169">
        <f t="shared" ref="B15:G15" si="2">B16</f>
        <v>1005</v>
      </c>
      <c r="C15" s="169">
        <f t="shared" si="2"/>
        <v>9148</v>
      </c>
      <c r="D15" s="169">
        <f t="shared" si="2"/>
        <v>851</v>
      </c>
      <c r="E15" s="169">
        <f t="shared" si="2"/>
        <v>39</v>
      </c>
      <c r="F15" s="169">
        <f t="shared" si="2"/>
        <v>10084</v>
      </c>
      <c r="G15" s="169">
        <f t="shared" si="2"/>
        <v>959</v>
      </c>
      <c r="H15" s="163"/>
      <c r="I15" s="183">
        <f>SUM(B15:E15)/F15</f>
        <v>1.0951011503371677</v>
      </c>
      <c r="J15" s="184">
        <f>(G15/SUM(B15:E15))*100</f>
        <v>8.6842343566059945</v>
      </c>
      <c r="K15" s="271">
        <f>(F15/SUM(B15:E15))*100</f>
        <v>91.315765643394002</v>
      </c>
    </row>
    <row r="16" spans="1:11">
      <c r="A16" s="191" t="s">
        <v>559</v>
      </c>
      <c r="B16" s="182">
        <v>1005</v>
      </c>
      <c r="C16" s="182">
        <v>9148</v>
      </c>
      <c r="D16" s="182">
        <v>851</v>
      </c>
      <c r="E16" s="182">
        <v>39</v>
      </c>
      <c r="F16" s="182">
        <v>10084</v>
      </c>
      <c r="G16" s="182">
        <v>959</v>
      </c>
      <c r="H16" s="332"/>
      <c r="I16" s="187">
        <f>SUM(B16:E16)/F16</f>
        <v>1.0951011503371677</v>
      </c>
      <c r="J16" s="188">
        <f>(G16/SUM(B16:E16))*100</f>
        <v>8.6842343566059945</v>
      </c>
      <c r="K16" s="272">
        <f>(F16/SUM(B16:E16))*100</f>
        <v>91.315765643394002</v>
      </c>
    </row>
    <row r="17" spans="1:11">
      <c r="A17" s="213"/>
      <c r="B17" s="182"/>
      <c r="C17" s="182"/>
      <c r="D17" s="182"/>
      <c r="E17" s="182"/>
      <c r="F17" s="182"/>
      <c r="G17" s="182"/>
      <c r="H17" s="332"/>
      <c r="I17" s="187"/>
      <c r="J17" s="188"/>
      <c r="K17" s="272"/>
    </row>
    <row r="18" spans="1:11" s="247" customFormat="1" ht="20.399999999999999">
      <c r="A18" s="215" t="s">
        <v>271</v>
      </c>
      <c r="B18" s="169">
        <f t="shared" ref="B18:G18" si="3">SUM(B19:B21)</f>
        <v>4021</v>
      </c>
      <c r="C18" s="169">
        <f t="shared" si="3"/>
        <v>9637</v>
      </c>
      <c r="D18" s="169">
        <f t="shared" si="3"/>
        <v>929</v>
      </c>
      <c r="E18" s="169">
        <f t="shared" si="3"/>
        <v>43</v>
      </c>
      <c r="F18" s="169">
        <f t="shared" si="3"/>
        <v>11885</v>
      </c>
      <c r="G18" s="169">
        <f t="shared" si="3"/>
        <v>2745</v>
      </c>
      <c r="H18" s="163"/>
      <c r="I18" s="183">
        <f>SUM(B18:E18)/F18</f>
        <v>1.2309633992427429</v>
      </c>
      <c r="J18" s="184">
        <f>(G18/SUM(B18:E18))*100</f>
        <v>18.762816131237184</v>
      </c>
      <c r="K18" s="271">
        <f>(F18/SUM(B18:E18))*100</f>
        <v>81.237183868762813</v>
      </c>
    </row>
    <row r="19" spans="1:11">
      <c r="A19" s="191" t="s">
        <v>560</v>
      </c>
      <c r="B19" s="182">
        <v>1051</v>
      </c>
      <c r="C19" s="182">
        <v>2455</v>
      </c>
      <c r="D19" s="182">
        <v>178</v>
      </c>
      <c r="E19" s="182">
        <v>14</v>
      </c>
      <c r="F19" s="182">
        <v>3010</v>
      </c>
      <c r="G19" s="182">
        <v>688</v>
      </c>
      <c r="H19" s="332"/>
      <c r="I19" s="187">
        <f>SUM(B19:E19)/F19</f>
        <v>1.2285714285714286</v>
      </c>
      <c r="J19" s="188">
        <f>(G19/SUM(B19:E19))*100</f>
        <v>18.604651162790699</v>
      </c>
      <c r="K19" s="272">
        <f>(F19/SUM(B19:E19))*100</f>
        <v>81.395348837209298</v>
      </c>
    </row>
    <row r="20" spans="1:11">
      <c r="A20" s="191" t="s">
        <v>561</v>
      </c>
      <c r="B20" s="182">
        <v>1440</v>
      </c>
      <c r="C20" s="182">
        <v>4051</v>
      </c>
      <c r="D20" s="182">
        <v>361</v>
      </c>
      <c r="E20" s="182">
        <v>17</v>
      </c>
      <c r="F20" s="182">
        <v>5007</v>
      </c>
      <c r="G20" s="182">
        <v>862</v>
      </c>
      <c r="H20" s="332"/>
      <c r="I20" s="187">
        <f>SUM(B20:E20)/F20</f>
        <v>1.1721589774315957</v>
      </c>
      <c r="J20" s="188">
        <f>(G20/SUM(B20:E20))*100</f>
        <v>14.687340262395637</v>
      </c>
      <c r="K20" s="272">
        <f>(F20/SUM(B20:E20))*100</f>
        <v>85.312659737604363</v>
      </c>
    </row>
    <row r="21" spans="1:11">
      <c r="A21" s="191" t="s">
        <v>562</v>
      </c>
      <c r="B21" s="182">
        <v>1530</v>
      </c>
      <c r="C21" s="182">
        <v>3131</v>
      </c>
      <c r="D21" s="182">
        <v>390</v>
      </c>
      <c r="E21" s="182">
        <v>12</v>
      </c>
      <c r="F21" s="182">
        <v>3868</v>
      </c>
      <c r="G21" s="182">
        <v>1195</v>
      </c>
      <c r="H21" s="332"/>
      <c r="I21" s="187">
        <f>SUM(B21:E21)/F21</f>
        <v>1.3089451913133403</v>
      </c>
      <c r="J21" s="188">
        <f>(G21/SUM(B21:E21))*100</f>
        <v>23.602607149911119</v>
      </c>
      <c r="K21" s="272">
        <f>(F21/SUM(B21:E21))*100</f>
        <v>76.397392850088892</v>
      </c>
    </row>
    <row r="22" spans="1:11">
      <c r="A22" s="332"/>
      <c r="B22" s="182"/>
      <c r="C22" s="182"/>
      <c r="D22" s="182"/>
      <c r="E22" s="182"/>
      <c r="F22" s="182"/>
      <c r="G22" s="182"/>
      <c r="H22" s="332"/>
      <c r="I22" s="187"/>
      <c r="J22" s="188"/>
      <c r="K22" s="272"/>
    </row>
    <row r="23" spans="1:11" s="247" customFormat="1" ht="20.399999999999999">
      <c r="A23" s="215" t="s">
        <v>280</v>
      </c>
      <c r="B23" s="169">
        <f t="shared" ref="B23:G23" si="4">SUM(B24:B25)</f>
        <v>2196</v>
      </c>
      <c r="C23" s="169">
        <f t="shared" si="4"/>
        <v>8625</v>
      </c>
      <c r="D23" s="169">
        <f t="shared" si="4"/>
        <v>669</v>
      </c>
      <c r="E23" s="169">
        <f t="shared" si="4"/>
        <v>9</v>
      </c>
      <c r="F23" s="169">
        <f t="shared" si="4"/>
        <v>9399</v>
      </c>
      <c r="G23" s="169">
        <f t="shared" si="4"/>
        <v>2100</v>
      </c>
      <c r="H23" s="163"/>
      <c r="I23" s="183">
        <f>SUM(B23:E23)/F23</f>
        <v>1.2234280242578999</v>
      </c>
      <c r="J23" s="184">
        <f>(G23/SUM(B23:E23))*100</f>
        <v>18.262457605009132</v>
      </c>
      <c r="K23" s="271">
        <f>(F23/SUM(B23:E23))*100</f>
        <v>81.737542394990868</v>
      </c>
    </row>
    <row r="24" spans="1:11">
      <c r="A24" s="191" t="s">
        <v>0</v>
      </c>
      <c r="B24" s="182">
        <v>2045</v>
      </c>
      <c r="C24" s="182">
        <v>7606</v>
      </c>
      <c r="D24" s="182">
        <v>594</v>
      </c>
      <c r="E24" s="182">
        <v>9</v>
      </c>
      <c r="F24" s="182">
        <v>8302</v>
      </c>
      <c r="G24" s="182">
        <v>1952</v>
      </c>
      <c r="H24" s="332"/>
      <c r="I24" s="187">
        <f>SUM(B24:E24)/F24</f>
        <v>1.2351240664900025</v>
      </c>
      <c r="J24" s="188">
        <f>(G24/SUM(B24:E24))*100</f>
        <v>19.036473571289253</v>
      </c>
      <c r="K24" s="272">
        <f>(F24/SUM(B24:E24))*100</f>
        <v>80.96352642871075</v>
      </c>
    </row>
    <row r="25" spans="1:11">
      <c r="A25" s="191" t="s">
        <v>1</v>
      </c>
      <c r="B25" s="182">
        <v>151</v>
      </c>
      <c r="C25" s="182">
        <v>1019</v>
      </c>
      <c r="D25" s="182">
        <v>75</v>
      </c>
      <c r="E25" s="182">
        <v>0</v>
      </c>
      <c r="F25" s="182">
        <v>1097</v>
      </c>
      <c r="G25" s="182">
        <v>148</v>
      </c>
      <c r="H25" s="332"/>
      <c r="I25" s="187">
        <f>SUM(B25:E25)/F25</f>
        <v>1.1349134001823153</v>
      </c>
      <c r="J25" s="188">
        <f>(G25/SUM(B25:E25))*100</f>
        <v>11.887550200803213</v>
      </c>
      <c r="K25" s="272">
        <f>(F25/SUM(B25:E25))*100</f>
        <v>88.112449799196796</v>
      </c>
    </row>
    <row r="26" spans="1:11">
      <c r="A26" s="213"/>
      <c r="B26" s="182"/>
      <c r="C26" s="182"/>
      <c r="D26" s="182"/>
      <c r="E26" s="182"/>
      <c r="F26" s="182"/>
      <c r="G26" s="182"/>
      <c r="H26" s="332"/>
      <c r="I26" s="187"/>
      <c r="J26" s="188"/>
      <c r="K26" s="272"/>
    </row>
    <row r="27" spans="1:11" s="247" customFormat="1" ht="20.399999999999999">
      <c r="A27" s="215" t="s">
        <v>287</v>
      </c>
      <c r="B27" s="169">
        <f t="shared" ref="B27:G27" si="5">SUM(B28:B31)</f>
        <v>1116</v>
      </c>
      <c r="C27" s="169">
        <f t="shared" si="5"/>
        <v>5123</v>
      </c>
      <c r="D27" s="169">
        <f t="shared" si="5"/>
        <v>222</v>
      </c>
      <c r="E27" s="169">
        <f t="shared" si="5"/>
        <v>13</v>
      </c>
      <c r="F27" s="169">
        <f t="shared" si="5"/>
        <v>5623</v>
      </c>
      <c r="G27" s="169">
        <f t="shared" si="5"/>
        <v>851</v>
      </c>
      <c r="H27" s="163"/>
      <c r="I27" s="183">
        <f>SUM(B27:E27)/F27</f>
        <v>1.1513426996265339</v>
      </c>
      <c r="J27" s="184">
        <f>(G27/SUM(B27:E27))*100</f>
        <v>13.144887241272784</v>
      </c>
      <c r="K27" s="271">
        <f>(F27/SUM(B27:E27))*100</f>
        <v>86.855112758727216</v>
      </c>
    </row>
    <row r="28" spans="1:11">
      <c r="A28" s="191" t="s">
        <v>2</v>
      </c>
      <c r="B28" s="182">
        <v>528</v>
      </c>
      <c r="C28" s="182">
        <v>2874</v>
      </c>
      <c r="D28" s="182">
        <v>169</v>
      </c>
      <c r="E28" s="182">
        <v>6</v>
      </c>
      <c r="F28" s="182">
        <v>3132</v>
      </c>
      <c r="G28" s="182">
        <v>445</v>
      </c>
      <c r="H28" s="332"/>
      <c r="I28" s="187">
        <f>SUM(B28:E28)/F28</f>
        <v>1.142081736909323</v>
      </c>
      <c r="J28" s="188">
        <f>(G28/SUM(B28:E28))*100</f>
        <v>12.440592675426334</v>
      </c>
      <c r="K28" s="272">
        <f>(F28/SUM(B28:E28))*100</f>
        <v>87.559407324573669</v>
      </c>
    </row>
    <row r="29" spans="1:11">
      <c r="A29" s="191" t="s">
        <v>3</v>
      </c>
      <c r="B29" s="182">
        <v>411</v>
      </c>
      <c r="C29" s="182">
        <v>1178</v>
      </c>
      <c r="D29" s="182">
        <v>31</v>
      </c>
      <c r="E29" s="182">
        <v>4</v>
      </c>
      <c r="F29" s="182">
        <v>1379</v>
      </c>
      <c r="G29" s="182">
        <v>245</v>
      </c>
      <c r="H29" s="332"/>
      <c r="I29" s="187">
        <f>SUM(B29:E29)/F29</f>
        <v>1.1776649746192893</v>
      </c>
      <c r="J29" s="188">
        <f>(G29/SUM(B29:E29))*100</f>
        <v>15.086206896551724</v>
      </c>
      <c r="K29" s="272">
        <f>(F29/SUM(B29:E29))*100</f>
        <v>84.91379310344827</v>
      </c>
    </row>
    <row r="30" spans="1:11">
      <c r="A30" s="191" t="s">
        <v>4</v>
      </c>
      <c r="B30" s="182">
        <v>67</v>
      </c>
      <c r="C30" s="182">
        <v>566</v>
      </c>
      <c r="D30" s="182">
        <v>13</v>
      </c>
      <c r="E30" s="182">
        <v>1</v>
      </c>
      <c r="F30" s="182">
        <v>559</v>
      </c>
      <c r="G30" s="182">
        <v>88</v>
      </c>
      <c r="H30" s="332"/>
      <c r="I30" s="187">
        <f>SUM(B30:E30)/F30</f>
        <v>1.1574239713774597</v>
      </c>
      <c r="J30" s="188">
        <f>(G30/SUM(B30:E30))*100</f>
        <v>13.601236476043276</v>
      </c>
      <c r="K30" s="272">
        <f>(F30/SUM(B30:E30))*100</f>
        <v>86.398763523956717</v>
      </c>
    </row>
    <row r="31" spans="1:11">
      <c r="A31" s="191" t="s">
        <v>5</v>
      </c>
      <c r="B31" s="182">
        <v>110</v>
      </c>
      <c r="C31" s="182">
        <v>505</v>
      </c>
      <c r="D31" s="182">
        <v>9</v>
      </c>
      <c r="E31" s="182">
        <v>2</v>
      </c>
      <c r="F31" s="182">
        <v>553</v>
      </c>
      <c r="G31" s="182">
        <v>73</v>
      </c>
      <c r="H31" s="332"/>
      <c r="I31" s="187">
        <f>SUM(B31:E31)/F31</f>
        <v>1.132007233273056</v>
      </c>
      <c r="J31" s="188">
        <f>(G31/SUM(B31:E31))*100</f>
        <v>11.661341853035143</v>
      </c>
      <c r="K31" s="272">
        <f>(F31/SUM(B31:E31))*100</f>
        <v>88.33865814696486</v>
      </c>
    </row>
    <row r="32" spans="1:11" s="247" customFormat="1">
      <c r="A32" s="213"/>
      <c r="B32" s="182"/>
      <c r="C32" s="182"/>
      <c r="D32" s="182"/>
      <c r="E32" s="182"/>
      <c r="F32" s="182"/>
      <c r="G32" s="182"/>
      <c r="H32" s="332"/>
      <c r="I32" s="187"/>
      <c r="J32" s="188"/>
      <c r="K32" s="272"/>
    </row>
    <row r="33" spans="1:11" s="247" customFormat="1" ht="20.399999999999999">
      <c r="A33" s="215" t="s">
        <v>294</v>
      </c>
      <c r="B33" s="169">
        <f t="shared" ref="B33:G33" si="6">SUM(B34:B35)</f>
        <v>930</v>
      </c>
      <c r="C33" s="169">
        <f t="shared" si="6"/>
        <v>3156</v>
      </c>
      <c r="D33" s="169">
        <f t="shared" si="6"/>
        <v>267</v>
      </c>
      <c r="E33" s="169">
        <f t="shared" si="6"/>
        <v>10</v>
      </c>
      <c r="F33" s="169">
        <f t="shared" si="6"/>
        <v>3631</v>
      </c>
      <c r="G33" s="169">
        <f t="shared" si="6"/>
        <v>732</v>
      </c>
      <c r="H33" s="163"/>
      <c r="I33" s="183">
        <f>SUM(B33:E33)/F33</f>
        <v>1.2015973561002478</v>
      </c>
      <c r="J33" s="184">
        <f>(G33/SUM(B33:E33))*100</f>
        <v>16.777446710978687</v>
      </c>
      <c r="K33" s="271">
        <f>(F33/SUM(B33:E33))*100</f>
        <v>83.22255328902132</v>
      </c>
    </row>
    <row r="34" spans="1:11">
      <c r="A34" s="191" t="s">
        <v>6</v>
      </c>
      <c r="B34" s="182">
        <v>355</v>
      </c>
      <c r="C34" s="182">
        <v>1623</v>
      </c>
      <c r="D34" s="182">
        <v>122</v>
      </c>
      <c r="E34" s="182">
        <v>10</v>
      </c>
      <c r="F34" s="182">
        <v>1794</v>
      </c>
      <c r="G34" s="182">
        <v>316</v>
      </c>
      <c r="H34" s="332"/>
      <c r="I34" s="187">
        <f>SUM(B34:E34)/F34</f>
        <v>1.1761426978818283</v>
      </c>
      <c r="J34" s="188">
        <f>(G34/SUM(B34:E34))*100</f>
        <v>14.976303317535544</v>
      </c>
      <c r="K34" s="272">
        <f>(F34/SUM(B34:E34))*100</f>
        <v>85.023696682464461</v>
      </c>
    </row>
    <row r="35" spans="1:11">
      <c r="A35" s="191" t="s">
        <v>7</v>
      </c>
      <c r="B35" s="182">
        <v>575</v>
      </c>
      <c r="C35" s="182">
        <v>1533</v>
      </c>
      <c r="D35" s="182">
        <v>145</v>
      </c>
      <c r="E35" s="182">
        <v>0</v>
      </c>
      <c r="F35" s="182">
        <v>1837</v>
      </c>
      <c r="G35" s="182">
        <v>416</v>
      </c>
      <c r="H35" s="332"/>
      <c r="I35" s="187">
        <f>SUM(B35:E35)/F35</f>
        <v>1.226456178551987</v>
      </c>
      <c r="J35" s="188">
        <f>(G35/SUM(B35:E35))*100</f>
        <v>18.464269862405679</v>
      </c>
      <c r="K35" s="272">
        <f>(F35/SUM(B35:E35))*100</f>
        <v>81.535730137594314</v>
      </c>
    </row>
    <row r="36" spans="1:11" s="247" customFormat="1">
      <c r="A36" s="213"/>
      <c r="B36" s="182"/>
      <c r="C36" s="182"/>
      <c r="D36" s="182"/>
      <c r="E36" s="182"/>
      <c r="F36" s="182"/>
      <c r="G36" s="182"/>
      <c r="H36" s="332"/>
      <c r="I36" s="187"/>
      <c r="J36" s="188"/>
      <c r="K36" s="272"/>
    </row>
    <row r="37" spans="1:11" s="247" customFormat="1" ht="20.399999999999999">
      <c r="A37" s="215" t="s">
        <v>303</v>
      </c>
      <c r="B37" s="169">
        <f t="shared" ref="B37:G37" si="7">SUM(B38:B40)</f>
        <v>2790</v>
      </c>
      <c r="C37" s="169">
        <f t="shared" si="7"/>
        <v>10549</v>
      </c>
      <c r="D37" s="169">
        <f t="shared" si="7"/>
        <v>671</v>
      </c>
      <c r="E37" s="169">
        <f t="shared" si="7"/>
        <v>22</v>
      </c>
      <c r="F37" s="169">
        <f t="shared" si="7"/>
        <v>11356</v>
      </c>
      <c r="G37" s="169">
        <f t="shared" si="7"/>
        <v>2676</v>
      </c>
      <c r="H37" s="163"/>
      <c r="I37" s="183">
        <f>SUM(B37:E37)/F37</f>
        <v>1.2356463543501233</v>
      </c>
      <c r="J37" s="184">
        <f>(G37/SUM(B37:E37))*100</f>
        <v>19.070695553021665</v>
      </c>
      <c r="K37" s="271">
        <f>(F37/SUM(B37:E37))*100</f>
        <v>80.929304446978335</v>
      </c>
    </row>
    <row r="38" spans="1:11">
      <c r="A38" s="191" t="s">
        <v>8</v>
      </c>
      <c r="B38" s="182">
        <v>878</v>
      </c>
      <c r="C38" s="182">
        <v>6180</v>
      </c>
      <c r="D38" s="182">
        <v>426</v>
      </c>
      <c r="E38" s="182">
        <v>10</v>
      </c>
      <c r="F38" s="182">
        <v>6555</v>
      </c>
      <c r="G38" s="182">
        <v>939</v>
      </c>
      <c r="H38" s="332"/>
      <c r="I38" s="187">
        <f>SUM(B38:E38)/F38</f>
        <v>1.1432494279176202</v>
      </c>
      <c r="J38" s="188">
        <f>(G38/SUM(B38:E38))*100</f>
        <v>12.530024019215372</v>
      </c>
      <c r="K38" s="272">
        <f>(F38/SUM(B38:E38))*100</f>
        <v>87.469975980784625</v>
      </c>
    </row>
    <row r="39" spans="1:11">
      <c r="A39" s="191" t="s">
        <v>9</v>
      </c>
      <c r="B39" s="182">
        <v>1650</v>
      </c>
      <c r="C39" s="182">
        <v>2843</v>
      </c>
      <c r="D39" s="182">
        <v>26</v>
      </c>
      <c r="E39" s="182">
        <v>7</v>
      </c>
      <c r="F39" s="182">
        <v>3107</v>
      </c>
      <c r="G39" s="182">
        <v>1419</v>
      </c>
      <c r="H39" s="332"/>
      <c r="I39" s="187">
        <f>SUM(B39:E39)/F39</f>
        <v>1.4567106533633731</v>
      </c>
      <c r="J39" s="188">
        <f>(G39/SUM(B39:E39))*100</f>
        <v>31.352187361908975</v>
      </c>
      <c r="K39" s="272">
        <f>(F39/SUM(B39:E39))*100</f>
        <v>68.64781263809104</v>
      </c>
    </row>
    <row r="40" spans="1:11">
      <c r="A40" s="191" t="s">
        <v>10</v>
      </c>
      <c r="B40" s="182">
        <v>262</v>
      </c>
      <c r="C40" s="182">
        <v>1526</v>
      </c>
      <c r="D40" s="182">
        <v>219</v>
      </c>
      <c r="E40" s="182">
        <v>5</v>
      </c>
      <c r="F40" s="182">
        <v>1694</v>
      </c>
      <c r="G40" s="182">
        <v>318</v>
      </c>
      <c r="H40" s="332"/>
      <c r="I40" s="187">
        <f>SUM(B40:E40)/F40</f>
        <v>1.1877213695395514</v>
      </c>
      <c r="J40" s="188">
        <f>(G40/SUM(B40:E40))*100</f>
        <v>15.805168986083498</v>
      </c>
      <c r="K40" s="272">
        <f>(F40/SUM(B40:E40))*100</f>
        <v>84.194831013916499</v>
      </c>
    </row>
    <row r="41" spans="1:11" s="247" customFormat="1">
      <c r="A41" s="213"/>
      <c r="B41" s="182"/>
      <c r="C41" s="182"/>
      <c r="D41" s="182"/>
      <c r="E41" s="182"/>
      <c r="F41" s="182"/>
      <c r="G41" s="182"/>
      <c r="H41" s="332"/>
      <c r="I41" s="187"/>
      <c r="J41" s="188"/>
      <c r="K41" s="272"/>
    </row>
    <row r="42" spans="1:11" s="247" customFormat="1" ht="20.399999999999999">
      <c r="A42" s="215" t="s">
        <v>812</v>
      </c>
      <c r="B42" s="169">
        <f t="shared" ref="B42:G42" si="8">SUM(B43:B45)</f>
        <v>7014</v>
      </c>
      <c r="C42" s="169">
        <f t="shared" si="8"/>
        <v>8053</v>
      </c>
      <c r="D42" s="169">
        <f t="shared" si="8"/>
        <v>808</v>
      </c>
      <c r="E42" s="169">
        <f t="shared" si="8"/>
        <v>56</v>
      </c>
      <c r="F42" s="169">
        <f t="shared" si="8"/>
        <v>12601</v>
      </c>
      <c r="G42" s="169">
        <f t="shared" si="8"/>
        <v>3330</v>
      </c>
      <c r="H42" s="163"/>
      <c r="I42" s="183">
        <f>SUM(B42:E42)/F42</f>
        <v>1.2642647408935799</v>
      </c>
      <c r="J42" s="184">
        <f>(G42/SUM(B42:E42))*100</f>
        <v>20.902642646412655</v>
      </c>
      <c r="K42" s="271">
        <f>(F42/SUM(B42:E42))*100</f>
        <v>79.097357353587356</v>
      </c>
    </row>
    <row r="43" spans="1:11">
      <c r="A43" s="191" t="s">
        <v>11</v>
      </c>
      <c r="B43" s="182">
        <v>6117</v>
      </c>
      <c r="C43" s="182">
        <v>5543</v>
      </c>
      <c r="D43" s="182">
        <v>511</v>
      </c>
      <c r="E43" s="182">
        <v>6</v>
      </c>
      <c r="F43" s="182">
        <v>9502</v>
      </c>
      <c r="G43" s="182">
        <v>2675</v>
      </c>
      <c r="H43" s="332"/>
      <c r="I43" s="187">
        <f>SUM(B43:E43)/F43</f>
        <v>1.2815196800673543</v>
      </c>
      <c r="J43" s="188">
        <f>(G43/SUM(B43:E43))*100</f>
        <v>21.96764391886343</v>
      </c>
      <c r="K43" s="272">
        <f>(F43/SUM(B43:E43))*100</f>
        <v>78.03235608113657</v>
      </c>
    </row>
    <row r="44" spans="1:11">
      <c r="A44" s="191" t="s">
        <v>12</v>
      </c>
      <c r="B44" s="182">
        <v>287</v>
      </c>
      <c r="C44" s="182">
        <v>1049</v>
      </c>
      <c r="D44" s="182">
        <v>129</v>
      </c>
      <c r="E44" s="182">
        <v>24</v>
      </c>
      <c r="F44" s="182">
        <v>1230</v>
      </c>
      <c r="G44" s="182">
        <v>259</v>
      </c>
      <c r="H44" s="332"/>
      <c r="I44" s="187">
        <f>SUM(B44:E44)/F44</f>
        <v>1.2105691056910568</v>
      </c>
      <c r="J44" s="188">
        <f>(G44/SUM(B44:E44))*100</f>
        <v>17.394224311618537</v>
      </c>
      <c r="K44" s="272">
        <f>(F44/SUM(B44:E44))*100</f>
        <v>82.60577568838147</v>
      </c>
    </row>
    <row r="45" spans="1:11">
      <c r="A45" s="191" t="s">
        <v>13</v>
      </c>
      <c r="B45" s="182">
        <v>610</v>
      </c>
      <c r="C45" s="182">
        <v>1461</v>
      </c>
      <c r="D45" s="182">
        <v>168</v>
      </c>
      <c r="E45" s="182">
        <v>26</v>
      </c>
      <c r="F45" s="182">
        <v>1869</v>
      </c>
      <c r="G45" s="182">
        <v>396</v>
      </c>
      <c r="H45" s="332"/>
      <c r="I45" s="187">
        <f>SUM(B45:E45)/F45</f>
        <v>1.2118780096308186</v>
      </c>
      <c r="J45" s="188">
        <f>(G45/SUM(B45:E45))*100</f>
        <v>17.483443708609272</v>
      </c>
      <c r="K45" s="272">
        <f>(F45/SUM(B45:E45))*100</f>
        <v>82.516556291390728</v>
      </c>
    </row>
    <row r="46" spans="1:11" s="247" customFormat="1">
      <c r="A46" s="213"/>
      <c r="B46" s="182"/>
      <c r="C46" s="182"/>
      <c r="D46" s="182"/>
      <c r="E46" s="182"/>
      <c r="F46" s="182"/>
      <c r="G46" s="182"/>
      <c r="H46" s="332"/>
      <c r="I46" s="187"/>
      <c r="J46" s="188"/>
      <c r="K46" s="272"/>
    </row>
    <row r="47" spans="1:11" s="247" customFormat="1" ht="20.399999999999999">
      <c r="A47" s="215" t="s">
        <v>820</v>
      </c>
      <c r="B47" s="169">
        <f t="shared" ref="B47:G47" si="9">SUM(B48:B49)</f>
        <v>1406</v>
      </c>
      <c r="C47" s="169">
        <f t="shared" si="9"/>
        <v>4667</v>
      </c>
      <c r="D47" s="169">
        <f t="shared" si="9"/>
        <v>311</v>
      </c>
      <c r="E47" s="169">
        <f t="shared" si="9"/>
        <v>11</v>
      </c>
      <c r="F47" s="169">
        <f t="shared" si="9"/>
        <v>5133</v>
      </c>
      <c r="G47" s="169">
        <f t="shared" si="9"/>
        <v>1262</v>
      </c>
      <c r="H47" s="226"/>
      <c r="I47" s="183">
        <f>SUM(B47:E47)/F47</f>
        <v>1.2458601207870641</v>
      </c>
      <c r="J47" s="184">
        <f>(G47/SUM(B47:E47))*100</f>
        <v>19.734167318217359</v>
      </c>
      <c r="K47" s="271">
        <f>(F47/SUM(B47:E47))*100</f>
        <v>80.265832681782641</v>
      </c>
    </row>
    <row r="48" spans="1:11">
      <c r="A48" s="191" t="s">
        <v>14</v>
      </c>
      <c r="B48" s="182">
        <v>973</v>
      </c>
      <c r="C48" s="182">
        <v>2827</v>
      </c>
      <c r="D48" s="182">
        <v>133</v>
      </c>
      <c r="E48" s="182">
        <v>3</v>
      </c>
      <c r="F48" s="182">
        <v>3074</v>
      </c>
      <c r="G48" s="182">
        <v>862</v>
      </c>
      <c r="H48" s="179"/>
      <c r="I48" s="187">
        <f>SUM(B48:E48)/F48</f>
        <v>1.280416395575797</v>
      </c>
      <c r="J48" s="188">
        <f>(G48/SUM(B48:E48))*100</f>
        <v>21.900406504065039</v>
      </c>
      <c r="K48" s="272">
        <f>(F48/SUM(B48:E48))*100</f>
        <v>78.099593495934954</v>
      </c>
    </row>
    <row r="49" spans="1:11">
      <c r="A49" s="191" t="s">
        <v>15</v>
      </c>
      <c r="B49" s="182">
        <v>433</v>
      </c>
      <c r="C49" s="182">
        <v>1840</v>
      </c>
      <c r="D49" s="182">
        <v>178</v>
      </c>
      <c r="E49" s="182">
        <v>8</v>
      </c>
      <c r="F49" s="182">
        <v>2059</v>
      </c>
      <c r="G49" s="182">
        <v>400</v>
      </c>
      <c r="H49" s="179"/>
      <c r="I49" s="187">
        <f>SUM(B49:E49)/F49</f>
        <v>1.1942690626517727</v>
      </c>
      <c r="J49" s="188">
        <f>(G49/SUM(B49:E49))*100</f>
        <v>16.266775111834079</v>
      </c>
      <c r="K49" s="272">
        <f>(F49/SUM(B49:E49))*100</f>
        <v>83.733224888165921</v>
      </c>
    </row>
    <row r="50" spans="1:11" s="247" customFormat="1">
      <c r="A50" s="213"/>
      <c r="B50" s="182"/>
      <c r="C50" s="182"/>
      <c r="D50" s="182"/>
      <c r="E50" s="182"/>
      <c r="F50" s="182"/>
      <c r="G50" s="182"/>
      <c r="H50" s="179"/>
      <c r="I50" s="187"/>
      <c r="J50" s="188"/>
      <c r="K50" s="272"/>
    </row>
    <row r="51" spans="1:11" s="247" customFormat="1" ht="20.399999999999999">
      <c r="A51" s="215" t="s">
        <v>16</v>
      </c>
      <c r="B51" s="169">
        <f t="shared" ref="B51:G51" si="10">SUM(B52:B53)</f>
        <v>1512</v>
      </c>
      <c r="C51" s="169">
        <f t="shared" si="10"/>
        <v>4607</v>
      </c>
      <c r="D51" s="169">
        <f t="shared" si="10"/>
        <v>667</v>
      </c>
      <c r="E51" s="169">
        <f t="shared" si="10"/>
        <v>11</v>
      </c>
      <c r="F51" s="169">
        <f t="shared" si="10"/>
        <v>5718</v>
      </c>
      <c r="G51" s="169">
        <f t="shared" si="10"/>
        <v>1079</v>
      </c>
      <c r="H51" s="226"/>
      <c r="I51" s="183">
        <f>SUM(B51:E51)/F51</f>
        <v>1.1887023434767401</v>
      </c>
      <c r="J51" s="184">
        <f>(G51/SUM(B51:E51))*100</f>
        <v>15.874650581138738</v>
      </c>
      <c r="K51" s="271">
        <f>(F51/SUM(B51:E51))*100</f>
        <v>84.125349418861262</v>
      </c>
    </row>
    <row r="52" spans="1:11">
      <c r="A52" s="191" t="s">
        <v>17</v>
      </c>
      <c r="B52" s="182">
        <v>506</v>
      </c>
      <c r="C52" s="182">
        <v>2287</v>
      </c>
      <c r="D52" s="182">
        <v>365</v>
      </c>
      <c r="E52" s="182">
        <v>5</v>
      </c>
      <c r="F52" s="182">
        <v>2715</v>
      </c>
      <c r="G52" s="182">
        <v>448</v>
      </c>
      <c r="H52" s="179"/>
      <c r="I52" s="187">
        <f>SUM(B52:E52)/F52</f>
        <v>1.1650092081031307</v>
      </c>
      <c r="J52" s="188">
        <f>(G52/SUM(B52:E52))*100</f>
        <v>14.163768574138476</v>
      </c>
      <c r="K52" s="272">
        <f>(F52/SUM(B52:E52))*100</f>
        <v>85.836231425861513</v>
      </c>
    </row>
    <row r="53" spans="1:11">
      <c r="A53" s="191" t="s">
        <v>18</v>
      </c>
      <c r="B53" s="182">
        <v>1006</v>
      </c>
      <c r="C53" s="182">
        <v>2320</v>
      </c>
      <c r="D53" s="182">
        <v>302</v>
      </c>
      <c r="E53" s="182">
        <v>6</v>
      </c>
      <c r="F53" s="182">
        <v>3003</v>
      </c>
      <c r="G53" s="182">
        <v>631</v>
      </c>
      <c r="H53" s="179"/>
      <c r="I53" s="187">
        <f>SUM(B53:E53)/F53</f>
        <v>1.2101232101232102</v>
      </c>
      <c r="J53" s="188">
        <f>(G53/SUM(B53:E53))*100</f>
        <v>17.36378646119978</v>
      </c>
      <c r="K53" s="272">
        <f>(F53/SUM(B53:E53))*100</f>
        <v>82.63621353880022</v>
      </c>
    </row>
    <row r="54" spans="1:11" s="247" customFormat="1">
      <c r="A54" s="213"/>
      <c r="B54" s="182"/>
      <c r="C54" s="182"/>
      <c r="D54" s="182"/>
      <c r="E54" s="182"/>
      <c r="F54" s="182"/>
      <c r="G54" s="182"/>
      <c r="H54" s="179"/>
      <c r="I54" s="187"/>
      <c r="J54" s="188"/>
      <c r="K54" s="272"/>
    </row>
    <row r="55" spans="1:11" s="247" customFormat="1" ht="20.399999999999999">
      <c r="A55" s="215" t="s">
        <v>836</v>
      </c>
      <c r="B55" s="169">
        <f t="shared" ref="B55:G55" si="11">SUM(B56:B59)</f>
        <v>1399</v>
      </c>
      <c r="C55" s="169">
        <f t="shared" si="11"/>
        <v>6083</v>
      </c>
      <c r="D55" s="169">
        <f t="shared" si="11"/>
        <v>374</v>
      </c>
      <c r="E55" s="169">
        <f t="shared" si="11"/>
        <v>26</v>
      </c>
      <c r="F55" s="169">
        <f t="shared" si="11"/>
        <v>6597</v>
      </c>
      <c r="G55" s="169">
        <f t="shared" si="11"/>
        <v>1285</v>
      </c>
      <c r="H55" s="226"/>
      <c r="I55" s="183">
        <f>SUM(B55:E55)/F55</f>
        <v>1.1947855085644989</v>
      </c>
      <c r="J55" s="184">
        <f>(G55/SUM(B55:E55))*100</f>
        <v>16.302968789647299</v>
      </c>
      <c r="K55" s="271">
        <f>(F55/SUM(B55:E55))*100</f>
        <v>83.697031210352705</v>
      </c>
    </row>
    <row r="56" spans="1:11">
      <c r="A56" s="191" t="s">
        <v>19</v>
      </c>
      <c r="B56" s="182">
        <v>683</v>
      </c>
      <c r="C56" s="182">
        <v>3198</v>
      </c>
      <c r="D56" s="182">
        <v>170</v>
      </c>
      <c r="E56" s="182">
        <v>11</v>
      </c>
      <c r="F56" s="182">
        <v>3358</v>
      </c>
      <c r="G56" s="182">
        <v>704</v>
      </c>
      <c r="H56" s="179"/>
      <c r="I56" s="187">
        <f>SUM(B56:E56)/F56</f>
        <v>1.2096486003573557</v>
      </c>
      <c r="J56" s="188">
        <f>(G56/SUM(B56:E56))*100</f>
        <v>17.331363860167407</v>
      </c>
      <c r="K56" s="272">
        <f>(F56/SUM(B56:E56))*100</f>
        <v>82.6686361398326</v>
      </c>
    </row>
    <row r="57" spans="1:11">
      <c r="A57" s="191" t="s">
        <v>20</v>
      </c>
      <c r="B57" s="182">
        <v>349</v>
      </c>
      <c r="C57" s="182">
        <v>1575</v>
      </c>
      <c r="D57" s="182">
        <v>122</v>
      </c>
      <c r="E57" s="182">
        <v>9</v>
      </c>
      <c r="F57" s="182">
        <v>1797</v>
      </c>
      <c r="G57" s="182">
        <v>258</v>
      </c>
      <c r="H57" s="179"/>
      <c r="I57" s="187">
        <f>SUM(B57:E57)/F57</f>
        <v>1.1435726210350585</v>
      </c>
      <c r="J57" s="188">
        <f>(G57/SUM(B57:E57))*100</f>
        <v>12.554744525547445</v>
      </c>
      <c r="K57" s="272">
        <f>(F57/SUM(B57:E57))*100</f>
        <v>87.445255474452551</v>
      </c>
    </row>
    <row r="58" spans="1:11">
      <c r="A58" s="191" t="s">
        <v>21</v>
      </c>
      <c r="B58" s="182">
        <v>245</v>
      </c>
      <c r="C58" s="182">
        <v>895</v>
      </c>
      <c r="D58" s="182">
        <v>65</v>
      </c>
      <c r="E58" s="182">
        <v>1</v>
      </c>
      <c r="F58" s="182">
        <v>980</v>
      </c>
      <c r="G58" s="182">
        <v>226</v>
      </c>
      <c r="H58" s="179"/>
      <c r="I58" s="187">
        <f>SUM(B58:E58)/F58</f>
        <v>1.2306122448979593</v>
      </c>
      <c r="J58" s="188">
        <f>(G58/SUM(B58:E58))*100</f>
        <v>18.739635157545607</v>
      </c>
      <c r="K58" s="272">
        <f>(F58/SUM(B58:E58))*100</f>
        <v>81.260364842454393</v>
      </c>
    </row>
    <row r="59" spans="1:11">
      <c r="A59" s="191" t="s">
        <v>442</v>
      </c>
      <c r="B59" s="182">
        <v>122</v>
      </c>
      <c r="C59" s="182">
        <v>415</v>
      </c>
      <c r="D59" s="182">
        <v>17</v>
      </c>
      <c r="E59" s="182">
        <v>5</v>
      </c>
      <c r="F59" s="182">
        <v>462</v>
      </c>
      <c r="G59" s="182">
        <v>97</v>
      </c>
      <c r="H59" s="179"/>
      <c r="I59" s="187">
        <f>SUM(B59:E59)/F59</f>
        <v>1.2099567099567099</v>
      </c>
      <c r="J59" s="188">
        <f>(G59/SUM(B59:E59))*100</f>
        <v>17.352415026833633</v>
      </c>
      <c r="K59" s="272">
        <f>(F59/SUM(B59:E59))*100</f>
        <v>82.64758497316636</v>
      </c>
    </row>
    <row r="60" spans="1:11" s="247" customFormat="1">
      <c r="A60" s="213"/>
      <c r="B60" s="182"/>
      <c r="C60" s="182"/>
      <c r="D60" s="182"/>
      <c r="E60" s="182"/>
      <c r="F60" s="182"/>
      <c r="G60" s="182"/>
      <c r="H60" s="179"/>
      <c r="I60" s="187"/>
      <c r="J60" s="188"/>
      <c r="K60" s="272"/>
    </row>
    <row r="61" spans="1:11" s="247" customFormat="1" ht="20.399999999999999">
      <c r="A61" s="215" t="s">
        <v>845</v>
      </c>
      <c r="B61" s="169">
        <f t="shared" ref="B61:G61" si="12">SUM(B62:B63)</f>
        <v>477</v>
      </c>
      <c r="C61" s="169">
        <f t="shared" si="12"/>
        <v>3689</v>
      </c>
      <c r="D61" s="169">
        <f t="shared" si="12"/>
        <v>282</v>
      </c>
      <c r="E61" s="169">
        <f t="shared" si="12"/>
        <v>15</v>
      </c>
      <c r="F61" s="169">
        <f t="shared" si="12"/>
        <v>3918</v>
      </c>
      <c r="G61" s="169">
        <f t="shared" si="12"/>
        <v>545</v>
      </c>
      <c r="H61" s="226"/>
      <c r="I61" s="183">
        <f>SUM(B61:E61)/F61</f>
        <v>1.1391015824400204</v>
      </c>
      <c r="J61" s="184">
        <f>(G61/SUM(B61:E61))*100</f>
        <v>12.211516916872059</v>
      </c>
      <c r="K61" s="271">
        <f>(F61/SUM(B61:E61))*100</f>
        <v>87.788483083127943</v>
      </c>
    </row>
    <row r="62" spans="1:11">
      <c r="A62" s="191" t="s">
        <v>22</v>
      </c>
      <c r="B62" s="182">
        <v>348</v>
      </c>
      <c r="C62" s="182">
        <v>3039</v>
      </c>
      <c r="D62" s="182">
        <v>242</v>
      </c>
      <c r="E62" s="182">
        <v>14</v>
      </c>
      <c r="F62" s="182">
        <v>3348</v>
      </c>
      <c r="G62" s="182">
        <v>295</v>
      </c>
      <c r="H62" s="179"/>
      <c r="I62" s="187">
        <f>SUM(B62:E62)/F62</f>
        <v>1.0881123058542412</v>
      </c>
      <c r="J62" s="188">
        <f>(G62/SUM(B62:E62))*100</f>
        <v>8.097721657974196</v>
      </c>
      <c r="K62" s="272">
        <f>(F62/SUM(B62:E62))*100</f>
        <v>91.902278342025795</v>
      </c>
    </row>
    <row r="63" spans="1:11">
      <c r="A63" s="191" t="s">
        <v>23</v>
      </c>
      <c r="B63" s="182">
        <v>129</v>
      </c>
      <c r="C63" s="182">
        <v>650</v>
      </c>
      <c r="D63" s="182">
        <v>40</v>
      </c>
      <c r="E63" s="182">
        <v>1</v>
      </c>
      <c r="F63" s="182">
        <v>570</v>
      </c>
      <c r="G63" s="182">
        <v>250</v>
      </c>
      <c r="H63" s="179"/>
      <c r="I63" s="187">
        <f>SUM(B63:E63)/F63</f>
        <v>1.4385964912280702</v>
      </c>
      <c r="J63" s="188">
        <f>(G63/SUM(B63:E63))*100</f>
        <v>30.487804878048781</v>
      </c>
      <c r="K63" s="272">
        <f>(F63/SUM(B63:E63))*100</f>
        <v>69.512195121951208</v>
      </c>
    </row>
    <row r="64" spans="1:11" s="247" customFormat="1">
      <c r="A64" s="213"/>
      <c r="B64" s="182"/>
      <c r="C64" s="182"/>
      <c r="D64" s="182"/>
      <c r="E64" s="182"/>
      <c r="F64" s="182"/>
      <c r="G64" s="182"/>
      <c r="H64" s="179"/>
      <c r="I64" s="187"/>
      <c r="J64" s="188"/>
      <c r="K64" s="272"/>
    </row>
    <row r="65" spans="1:11" s="247" customFormat="1" ht="20.399999999999999">
      <c r="A65" s="215" t="s">
        <v>849</v>
      </c>
      <c r="B65" s="169">
        <f t="shared" ref="B65:G65" si="13">SUM(B66:B69)</f>
        <v>893</v>
      </c>
      <c r="C65" s="169">
        <f t="shared" si="13"/>
        <v>4678</v>
      </c>
      <c r="D65" s="169">
        <f t="shared" si="13"/>
        <v>464</v>
      </c>
      <c r="E65" s="169">
        <f t="shared" si="13"/>
        <v>25</v>
      </c>
      <c r="F65" s="169">
        <f t="shared" si="13"/>
        <v>5285</v>
      </c>
      <c r="G65" s="169">
        <f t="shared" si="13"/>
        <v>775</v>
      </c>
      <c r="H65" s="226"/>
      <c r="I65" s="183">
        <f>SUM(B65:E65)/F65</f>
        <v>1.1466414380321666</v>
      </c>
      <c r="J65" s="184">
        <f>(G65/SUM(B65:E65))*100</f>
        <v>12.788778877887788</v>
      </c>
      <c r="K65" s="271">
        <f>(F65/SUM(B65:E65))*100</f>
        <v>87.211221122112221</v>
      </c>
    </row>
    <row r="66" spans="1:11">
      <c r="A66" s="191" t="s">
        <v>24</v>
      </c>
      <c r="B66" s="182">
        <v>127</v>
      </c>
      <c r="C66" s="182">
        <v>1012</v>
      </c>
      <c r="D66" s="182">
        <v>40</v>
      </c>
      <c r="E66" s="182">
        <v>6</v>
      </c>
      <c r="F66" s="182">
        <v>1075</v>
      </c>
      <c r="G66" s="182">
        <v>110</v>
      </c>
      <c r="H66" s="179"/>
      <c r="I66" s="187">
        <f>SUM(B66:E66)/F66</f>
        <v>1.1023255813953488</v>
      </c>
      <c r="J66" s="188">
        <f>(G66/SUM(B66:E66))*100</f>
        <v>9.2827004219409286</v>
      </c>
      <c r="K66" s="272">
        <f>(F66/SUM(B66:E66))*100</f>
        <v>90.71729957805907</v>
      </c>
    </row>
    <row r="67" spans="1:11">
      <c r="A67" s="191" t="s">
        <v>25</v>
      </c>
      <c r="B67" s="182">
        <v>285</v>
      </c>
      <c r="C67" s="182">
        <v>1612</v>
      </c>
      <c r="D67" s="182">
        <v>86</v>
      </c>
      <c r="E67" s="182">
        <v>3</v>
      </c>
      <c r="F67" s="182">
        <v>1705</v>
      </c>
      <c r="G67" s="182">
        <v>281</v>
      </c>
      <c r="H67" s="179"/>
      <c r="I67" s="187">
        <f>SUM(B67:E67)/F67</f>
        <v>1.1648093841642229</v>
      </c>
      <c r="J67" s="188">
        <f>(G67/SUM(B67:E67))*100</f>
        <v>14.149043303121852</v>
      </c>
      <c r="K67" s="272">
        <f>(F67/SUM(B67:E67))*100</f>
        <v>85.850956696878143</v>
      </c>
    </row>
    <row r="68" spans="1:11">
      <c r="A68" s="191" t="s">
        <v>26</v>
      </c>
      <c r="B68" s="182">
        <v>386</v>
      </c>
      <c r="C68" s="182">
        <v>1301</v>
      </c>
      <c r="D68" s="182">
        <v>269</v>
      </c>
      <c r="E68" s="182">
        <v>14</v>
      </c>
      <c r="F68" s="182">
        <v>1672</v>
      </c>
      <c r="G68" s="182">
        <v>298</v>
      </c>
      <c r="H68" s="179"/>
      <c r="I68" s="187">
        <f>SUM(B68:E68)/F68</f>
        <v>1.1782296650717703</v>
      </c>
      <c r="J68" s="188">
        <f>(G68/SUM(B68:E68))*100</f>
        <v>15.126903553299492</v>
      </c>
      <c r="K68" s="272">
        <f>(F68/SUM(B68:E68))*100</f>
        <v>84.873096446700501</v>
      </c>
    </row>
    <row r="69" spans="1:11" s="247" customFormat="1">
      <c r="A69" s="191" t="s">
        <v>27</v>
      </c>
      <c r="B69" s="182">
        <v>95</v>
      </c>
      <c r="C69" s="182">
        <v>753</v>
      </c>
      <c r="D69" s="182">
        <v>69</v>
      </c>
      <c r="E69" s="182">
        <v>2</v>
      </c>
      <c r="F69" s="182">
        <v>833</v>
      </c>
      <c r="G69" s="182">
        <v>86</v>
      </c>
      <c r="H69" s="179"/>
      <c r="I69" s="187">
        <f>SUM(B69:E69)/F69</f>
        <v>1.1032412965186074</v>
      </c>
      <c r="J69" s="188">
        <f>(G69/SUM(B69:E69))*100</f>
        <v>9.357997823721437</v>
      </c>
      <c r="K69" s="272">
        <f>(F69/SUM(B69:E69))*100</f>
        <v>90.642002176278567</v>
      </c>
    </row>
    <row r="70" spans="1:11">
      <c r="A70" s="332"/>
      <c r="B70" s="182"/>
      <c r="C70" s="182"/>
      <c r="D70" s="182"/>
      <c r="E70" s="182"/>
      <c r="F70" s="182"/>
      <c r="G70" s="182"/>
      <c r="H70" s="179"/>
      <c r="I70" s="187"/>
      <c r="J70" s="188"/>
      <c r="K70" s="272"/>
    </row>
    <row r="71" spans="1:11" s="247" customFormat="1" ht="20.399999999999999">
      <c r="A71" s="215" t="s">
        <v>857</v>
      </c>
      <c r="B71" s="169">
        <f t="shared" ref="B71:G71" si="14">SUM(B72:B73)</f>
        <v>957</v>
      </c>
      <c r="C71" s="169">
        <f t="shared" si="14"/>
        <v>4929</v>
      </c>
      <c r="D71" s="169">
        <f t="shared" si="14"/>
        <v>274</v>
      </c>
      <c r="E71" s="169">
        <f t="shared" si="14"/>
        <v>18</v>
      </c>
      <c r="F71" s="169">
        <f t="shared" si="14"/>
        <v>5196</v>
      </c>
      <c r="G71" s="169">
        <f t="shared" si="14"/>
        <v>982</v>
      </c>
      <c r="H71" s="226"/>
      <c r="I71" s="183">
        <f>SUM(B71:E71)/F71</f>
        <v>1.1889915319476521</v>
      </c>
      <c r="J71" s="184">
        <f>(G71/SUM(B71:E71))*100</f>
        <v>15.895111686629978</v>
      </c>
      <c r="K71" s="271">
        <f>(F71/SUM(B71:E71))*100</f>
        <v>84.104888313370026</v>
      </c>
    </row>
    <row r="72" spans="1:11">
      <c r="A72" s="191" t="s">
        <v>28</v>
      </c>
      <c r="B72" s="182">
        <v>744</v>
      </c>
      <c r="C72" s="182">
        <v>3947</v>
      </c>
      <c r="D72" s="182">
        <v>169</v>
      </c>
      <c r="E72" s="182">
        <v>12</v>
      </c>
      <c r="F72" s="182">
        <v>4187</v>
      </c>
      <c r="G72" s="182">
        <v>685</v>
      </c>
      <c r="H72" s="179"/>
      <c r="I72" s="187">
        <f>SUM(B72:E72)/F72</f>
        <v>1.1636016240745164</v>
      </c>
      <c r="J72" s="188">
        <f>(G72/SUM(B72:E72))*100</f>
        <v>14.059934318555008</v>
      </c>
      <c r="K72" s="272">
        <f>(F72/SUM(B72:E72))*100</f>
        <v>85.940065681444992</v>
      </c>
    </row>
    <row r="73" spans="1:11" s="247" customFormat="1">
      <c r="A73" s="213" t="s">
        <v>29</v>
      </c>
      <c r="B73" s="182">
        <v>213</v>
      </c>
      <c r="C73" s="182">
        <v>982</v>
      </c>
      <c r="D73" s="182">
        <v>105</v>
      </c>
      <c r="E73" s="182">
        <v>6</v>
      </c>
      <c r="F73" s="182">
        <v>1009</v>
      </c>
      <c r="G73" s="182">
        <v>297</v>
      </c>
      <c r="H73" s="179"/>
      <c r="I73" s="187">
        <f>SUM(B73:E73)/F73</f>
        <v>1.2943508424182359</v>
      </c>
      <c r="J73" s="188">
        <f>(G73/SUM(B73:E73))*100</f>
        <v>22.741194486983154</v>
      </c>
      <c r="K73" s="272">
        <f>(F73/SUM(B73:E73))*100</f>
        <v>77.258805513016853</v>
      </c>
    </row>
    <row r="74" spans="1:11">
      <c r="A74" s="213"/>
      <c r="B74" s="182"/>
      <c r="C74" s="182"/>
      <c r="D74" s="182"/>
      <c r="E74" s="182"/>
      <c r="F74" s="182"/>
      <c r="G74" s="182"/>
      <c r="H74" s="179"/>
      <c r="I74" s="187"/>
      <c r="J74" s="188"/>
      <c r="K74" s="272"/>
    </row>
    <row r="75" spans="1:11" s="247" customFormat="1" ht="20.399999999999999">
      <c r="A75" s="215" t="s">
        <v>860</v>
      </c>
      <c r="B75" s="169">
        <f t="shared" ref="B75:G75" si="15">SUM(B76:B77)</f>
        <v>2990</v>
      </c>
      <c r="C75" s="169">
        <f t="shared" si="15"/>
        <v>5518</v>
      </c>
      <c r="D75" s="169">
        <f t="shared" si="15"/>
        <v>956</v>
      </c>
      <c r="E75" s="169">
        <f t="shared" si="15"/>
        <v>11</v>
      </c>
      <c r="F75" s="169">
        <f t="shared" si="15"/>
        <v>6334</v>
      </c>
      <c r="G75" s="169">
        <f t="shared" si="15"/>
        <v>3141</v>
      </c>
      <c r="H75" s="226"/>
      <c r="I75" s="183">
        <f>SUM(B75:E75)/F75</f>
        <v>1.4958951689295863</v>
      </c>
      <c r="J75" s="184">
        <f>(G75/SUM(B75:E75))*100</f>
        <v>33.150395778364114</v>
      </c>
      <c r="K75" s="271">
        <f>(F75/SUM(B75:E75))*100</f>
        <v>66.849604221635886</v>
      </c>
    </row>
    <row r="76" spans="1:11" s="156" customFormat="1">
      <c r="A76" s="191" t="s">
        <v>30</v>
      </c>
      <c r="B76" s="182">
        <v>2502</v>
      </c>
      <c r="C76" s="182">
        <v>4022</v>
      </c>
      <c r="D76" s="182">
        <v>688</v>
      </c>
      <c r="E76" s="182">
        <v>2</v>
      </c>
      <c r="F76" s="182">
        <v>4514</v>
      </c>
      <c r="G76" s="182">
        <v>2700</v>
      </c>
      <c r="H76" s="179"/>
      <c r="I76" s="187">
        <f>SUM(B76:E76)/F76</f>
        <v>1.5981391227292867</v>
      </c>
      <c r="J76" s="188">
        <f>(G76/SUM(B76:E76))*100</f>
        <v>37.427224840587748</v>
      </c>
      <c r="K76" s="272">
        <f>(F76/SUM(B76:E76))*100</f>
        <v>62.572775159412252</v>
      </c>
    </row>
    <row r="77" spans="1:11" s="156" customFormat="1">
      <c r="A77" s="191" t="s">
        <v>31</v>
      </c>
      <c r="B77" s="182">
        <v>488</v>
      </c>
      <c r="C77" s="182">
        <v>1496</v>
      </c>
      <c r="D77" s="182">
        <v>268</v>
      </c>
      <c r="E77" s="182">
        <v>9</v>
      </c>
      <c r="F77" s="182">
        <v>1820</v>
      </c>
      <c r="G77" s="182">
        <v>441</v>
      </c>
      <c r="H77" s="179"/>
      <c r="I77" s="187">
        <f>SUM(B77:E77)/F77</f>
        <v>1.2423076923076923</v>
      </c>
      <c r="J77" s="188">
        <f>(G77/SUM(B77:E77))*100</f>
        <v>19.504643962848299</v>
      </c>
      <c r="K77" s="272">
        <f>(F77/SUM(B77:E77))*100</f>
        <v>80.495356037151694</v>
      </c>
    </row>
    <row r="78" spans="1:11" s="156" customFormat="1">
      <c r="A78" s="229"/>
      <c r="B78" s="198"/>
      <c r="C78" s="198"/>
      <c r="D78" s="198"/>
      <c r="E78" s="198"/>
      <c r="F78" s="198"/>
      <c r="G78" s="198"/>
      <c r="H78" s="217"/>
      <c r="I78" s="218"/>
      <c r="J78" s="218"/>
      <c r="K78" s="218"/>
    </row>
    <row r="79" spans="1:11">
      <c r="A79" s="39" t="s">
        <v>1072</v>
      </c>
    </row>
  </sheetData>
  <sheetProtection selectLockedCells="1" selectUnlockedCells="1"/>
  <mergeCells count="3">
    <mergeCell ref="A3:K3"/>
    <mergeCell ref="B5:G5"/>
    <mergeCell ref="I5:K5"/>
  </mergeCells>
  <phoneticPr fontId="0" type="noConversion"/>
  <printOptions horizontalCentered="1" verticalCentered="1"/>
  <pageMargins left="0.3298611111111111" right="0.35" top="0" bottom="0" header="0.51180555555555551" footer="0.51180555555555551"/>
  <pageSetup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00B0F0"/>
  </sheetPr>
  <dimension ref="A1:K80"/>
  <sheetViews>
    <sheetView workbookViewId="0">
      <selection activeCell="A3" sqref="A3:K3"/>
    </sheetView>
  </sheetViews>
  <sheetFormatPr baseColWidth="10" defaultColWidth="11.44140625" defaultRowHeight="20.25" customHeight="1"/>
  <cols>
    <col min="1" max="1" width="85.5546875" style="333" customWidth="1"/>
    <col min="2" max="2" width="22.109375" style="333" customWidth="1"/>
    <col min="3" max="3" width="20.88671875" style="333" customWidth="1"/>
    <col min="4" max="4" width="18.6640625" style="333" customWidth="1"/>
    <col min="5" max="5" width="20.109375" style="333" customWidth="1"/>
    <col min="6" max="6" width="19.5546875" style="333" customWidth="1"/>
    <col min="7" max="7" width="22.109375" style="333" customWidth="1"/>
    <col min="8" max="8" width="5.6640625" style="152" customWidth="1"/>
    <col min="9" max="11" width="18.6640625" style="152" customWidth="1"/>
    <col min="12" max="16384" width="11.44140625" style="333"/>
  </cols>
  <sheetData>
    <row r="1" spans="1:11" ht="20.25" customHeight="1">
      <c r="A1" s="155" t="s">
        <v>32</v>
      </c>
      <c r="B1" s="154"/>
      <c r="C1" s="154"/>
      <c r="D1" s="154"/>
      <c r="E1" s="154"/>
      <c r="F1" s="154"/>
      <c r="G1" s="154"/>
    </row>
    <row r="2" spans="1:11" ht="20.25" customHeight="1">
      <c r="A2" s="219"/>
      <c r="B2" s="219"/>
      <c r="C2" s="219"/>
      <c r="D2" s="219"/>
      <c r="E2" s="219"/>
      <c r="F2" s="219"/>
      <c r="G2" s="219"/>
    </row>
    <row r="3" spans="1:11" ht="20.25" customHeight="1">
      <c r="A3" s="457" t="s">
        <v>1067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</row>
    <row r="4" spans="1:11" ht="20.25" customHeight="1">
      <c r="A4" s="222"/>
      <c r="B4" s="222"/>
      <c r="C4" s="222"/>
      <c r="D4" s="222"/>
      <c r="E4" s="222"/>
      <c r="F4" s="222"/>
      <c r="G4" s="222"/>
      <c r="H4" s="160"/>
      <c r="I4" s="160"/>
      <c r="J4" s="160"/>
      <c r="K4" s="160"/>
    </row>
    <row r="5" spans="1:11" ht="20.25" customHeight="1">
      <c r="A5" s="223"/>
      <c r="B5" s="459" t="s">
        <v>535</v>
      </c>
      <c r="C5" s="459"/>
      <c r="D5" s="459"/>
      <c r="E5" s="459"/>
      <c r="F5" s="459"/>
      <c r="G5" s="459"/>
      <c r="H5" s="162"/>
      <c r="I5" s="459" t="s">
        <v>536</v>
      </c>
      <c r="J5" s="459"/>
      <c r="K5" s="459"/>
    </row>
    <row r="6" spans="1:11" ht="20.25" customHeight="1">
      <c r="A6" s="186" t="s">
        <v>33</v>
      </c>
      <c r="B6" s="186" t="s">
        <v>34</v>
      </c>
      <c r="C6" s="169" t="s">
        <v>539</v>
      </c>
      <c r="D6" s="169" t="s">
        <v>539</v>
      </c>
      <c r="E6" s="169" t="s">
        <v>153</v>
      </c>
      <c r="F6" s="169" t="s">
        <v>539</v>
      </c>
      <c r="G6" s="169" t="s">
        <v>34</v>
      </c>
      <c r="H6" s="166"/>
      <c r="I6" s="163" t="s">
        <v>541</v>
      </c>
      <c r="J6" s="165" t="s">
        <v>542</v>
      </c>
      <c r="K6" s="164" t="s">
        <v>542</v>
      </c>
    </row>
    <row r="7" spans="1:11" ht="20.25" customHeight="1">
      <c r="A7" s="328"/>
      <c r="B7" s="298">
        <v>42370</v>
      </c>
      <c r="C7" s="169" t="s">
        <v>543</v>
      </c>
      <c r="D7" s="169" t="s">
        <v>544</v>
      </c>
      <c r="E7" s="169" t="s">
        <v>154</v>
      </c>
      <c r="F7" s="169" t="s">
        <v>545</v>
      </c>
      <c r="G7" s="268">
        <v>42735</v>
      </c>
      <c r="H7" s="171"/>
      <c r="I7" s="172" t="s">
        <v>547</v>
      </c>
      <c r="J7" s="173" t="s">
        <v>548</v>
      </c>
      <c r="K7" s="232" t="s">
        <v>549</v>
      </c>
    </row>
    <row r="8" spans="1:11" ht="20.25" customHeight="1">
      <c r="A8" s="205"/>
      <c r="B8" s="175"/>
      <c r="C8" s="334"/>
      <c r="D8" s="175"/>
      <c r="E8" s="334"/>
      <c r="F8" s="175"/>
      <c r="G8" s="175"/>
      <c r="H8" s="223"/>
      <c r="I8" s="179"/>
      <c r="J8" s="162"/>
      <c r="K8" s="270"/>
    </row>
    <row r="9" spans="1:11" ht="20.25" customHeight="1">
      <c r="A9" s="335" t="s">
        <v>221</v>
      </c>
      <c r="B9" s="181">
        <f t="shared" ref="B9:G9" si="0">SUM(B11,B15,B19,B23,B27,B31,B36,B41,B46,B51,B56,B61,B65,B71,B75)</f>
        <v>29845</v>
      </c>
      <c r="C9" s="181">
        <f t="shared" si="0"/>
        <v>19655</v>
      </c>
      <c r="D9" s="181">
        <f t="shared" si="0"/>
        <v>1936</v>
      </c>
      <c r="E9" s="181">
        <f t="shared" si="0"/>
        <v>264</v>
      </c>
      <c r="F9" s="181">
        <f t="shared" si="0"/>
        <v>19915</v>
      </c>
      <c r="G9" s="181">
        <f t="shared" si="0"/>
        <v>31785</v>
      </c>
      <c r="H9" s="332"/>
      <c r="I9" s="183">
        <f>SUM(B9:E9)/F9</f>
        <v>2.5960331408486064</v>
      </c>
      <c r="J9" s="184">
        <f>(G9/SUM(B9:E9))*100</f>
        <v>61.479690522243715</v>
      </c>
      <c r="K9" s="271">
        <f>(F9/SUM(B9:E9))*100</f>
        <v>38.520309477756285</v>
      </c>
    </row>
    <row r="10" spans="1:11" ht="20.25" customHeight="1">
      <c r="A10" s="336"/>
      <c r="B10" s="181"/>
      <c r="C10" s="228"/>
      <c r="D10" s="181"/>
      <c r="E10" s="228"/>
      <c r="F10" s="181"/>
      <c r="G10" s="181"/>
      <c r="H10" s="332"/>
      <c r="I10" s="187"/>
      <c r="J10" s="188"/>
      <c r="K10" s="272"/>
    </row>
    <row r="11" spans="1:11" ht="20.25" customHeight="1">
      <c r="A11" s="215" t="s">
        <v>551</v>
      </c>
      <c r="B11" s="181">
        <f t="shared" ref="B11:G11" si="1">SUM(B12:B13)</f>
        <v>2825</v>
      </c>
      <c r="C11" s="181">
        <f t="shared" si="1"/>
        <v>2381</v>
      </c>
      <c r="D11" s="181">
        <f t="shared" si="1"/>
        <v>204</v>
      </c>
      <c r="E11" s="181">
        <f t="shared" si="1"/>
        <v>44</v>
      </c>
      <c r="F11" s="181">
        <f t="shared" si="1"/>
        <v>2781</v>
      </c>
      <c r="G11" s="181">
        <f t="shared" si="1"/>
        <v>2673</v>
      </c>
      <c r="H11" s="332"/>
      <c r="I11" s="183">
        <f>SUM(B11:E11)/F11</f>
        <v>1.9611650485436893</v>
      </c>
      <c r="J11" s="184">
        <f>(G11/SUM(B11:E11))*100</f>
        <v>49.009900990099013</v>
      </c>
      <c r="K11" s="271">
        <f>(F11/SUM(B11:E11))*100</f>
        <v>50.990099009900987</v>
      </c>
    </row>
    <row r="12" spans="1:11" ht="20.25" customHeight="1">
      <c r="A12" s="213" t="s">
        <v>35</v>
      </c>
      <c r="B12" s="406">
        <v>1991</v>
      </c>
      <c r="C12" s="406">
        <v>1120</v>
      </c>
      <c r="D12" s="406">
        <v>146</v>
      </c>
      <c r="E12" s="406">
        <v>18</v>
      </c>
      <c r="F12" s="406">
        <v>1342</v>
      </c>
      <c r="G12" s="406">
        <v>1933</v>
      </c>
      <c r="H12" s="332"/>
      <c r="I12" s="187">
        <f>SUM(B12:E12)/F12</f>
        <v>2.4403874813710877</v>
      </c>
      <c r="J12" s="188">
        <f>(G12/SUM(B12:E12))*100</f>
        <v>59.022900763358777</v>
      </c>
      <c r="K12" s="272">
        <f>(F12/SUM(B12:E12))*100</f>
        <v>40.977099236641223</v>
      </c>
    </row>
    <row r="13" spans="1:11" ht="20.25" customHeight="1">
      <c r="A13" s="213" t="s">
        <v>967</v>
      </c>
      <c r="B13" s="406">
        <v>834</v>
      </c>
      <c r="C13" s="406">
        <v>1261</v>
      </c>
      <c r="D13" s="406">
        <v>58</v>
      </c>
      <c r="E13" s="406">
        <v>26</v>
      </c>
      <c r="F13" s="406">
        <v>1439</v>
      </c>
      <c r="G13" s="406">
        <v>740</v>
      </c>
      <c r="H13" s="332"/>
      <c r="I13" s="187">
        <f>SUM(B13:E13)/F13</f>
        <v>1.5142460041695622</v>
      </c>
      <c r="J13" s="188">
        <f>(G13/SUM(B13:E13))*100</f>
        <v>33.960532354290955</v>
      </c>
      <c r="K13" s="272">
        <f>(F13/SUM(B13:E13))*100</f>
        <v>66.039467645709038</v>
      </c>
    </row>
    <row r="14" spans="1:11" ht="20.25" customHeight="1">
      <c r="A14" s="213"/>
      <c r="B14" s="406"/>
      <c r="C14" s="406"/>
      <c r="D14" s="406"/>
      <c r="E14" s="406"/>
      <c r="F14" s="406"/>
      <c r="G14" s="406"/>
      <c r="H14" s="332"/>
      <c r="I14" s="187"/>
      <c r="J14" s="188"/>
      <c r="K14" s="272"/>
    </row>
    <row r="15" spans="1:11" s="337" customFormat="1" ht="20.25" customHeight="1">
      <c r="A15" s="215" t="s">
        <v>268</v>
      </c>
      <c r="B15" s="408">
        <f t="shared" ref="B15:G15" si="2">SUM(B16:B17)</f>
        <v>2446</v>
      </c>
      <c r="C15" s="408">
        <f>SUM(C16:C17)</f>
        <v>1576</v>
      </c>
      <c r="D15" s="408">
        <f>SUM(D16:D17)</f>
        <v>121</v>
      </c>
      <c r="E15" s="408">
        <f t="shared" si="2"/>
        <v>23</v>
      </c>
      <c r="F15" s="408">
        <f>SUM(F16:F17)</f>
        <v>1597</v>
      </c>
      <c r="G15" s="408">
        <f t="shared" si="2"/>
        <v>2569</v>
      </c>
      <c r="H15" s="163"/>
      <c r="I15" s="183">
        <f>SUM(B15:E15)/F15</f>
        <v>2.6086412022542267</v>
      </c>
      <c r="J15" s="184">
        <f>(G15/SUM(B15:E15))*100</f>
        <v>61.665866538646185</v>
      </c>
      <c r="K15" s="271">
        <f>(F15/SUM(B15:E15))*100</f>
        <v>38.334133461353815</v>
      </c>
    </row>
    <row r="16" spans="1:11" ht="20.25" customHeight="1">
      <c r="A16" s="213" t="s">
        <v>36</v>
      </c>
      <c r="B16" s="406">
        <v>1591</v>
      </c>
      <c r="C16" s="406">
        <v>779</v>
      </c>
      <c r="D16" s="406">
        <v>83</v>
      </c>
      <c r="E16" s="406">
        <v>23</v>
      </c>
      <c r="F16" s="406">
        <v>559</v>
      </c>
      <c r="G16" s="406">
        <v>1917</v>
      </c>
      <c r="H16" s="332"/>
      <c r="I16" s="187">
        <f>SUM(B16:E16)/F16</f>
        <v>4.4293381037567086</v>
      </c>
      <c r="J16" s="188">
        <f>(G16/SUM(B16:E16))*100</f>
        <v>77.423263327948305</v>
      </c>
      <c r="K16" s="272">
        <f>(F16/SUM(B16:E16))*100</f>
        <v>22.576736672051698</v>
      </c>
    </row>
    <row r="17" spans="1:11" ht="20.25" customHeight="1">
      <c r="A17" s="213" t="s">
        <v>37</v>
      </c>
      <c r="B17" s="406">
        <v>855</v>
      </c>
      <c r="C17" s="406">
        <v>797</v>
      </c>
      <c r="D17" s="406">
        <v>38</v>
      </c>
      <c r="E17" s="406">
        <v>0</v>
      </c>
      <c r="F17" s="406">
        <v>1038</v>
      </c>
      <c r="G17" s="406">
        <v>652</v>
      </c>
      <c r="H17" s="332"/>
      <c r="I17" s="187">
        <f>SUM(B17:E17)/F17</f>
        <v>1.628131021194605</v>
      </c>
      <c r="J17" s="188">
        <f>(G17/SUM(B17:E17))*100</f>
        <v>38.57988165680473</v>
      </c>
      <c r="K17" s="272">
        <f>(F17/SUM(B17:E17))*100</f>
        <v>61.420118343195263</v>
      </c>
    </row>
    <row r="18" spans="1:11" ht="20.25" customHeight="1">
      <c r="A18" s="213"/>
      <c r="B18" s="406"/>
      <c r="C18" s="406"/>
      <c r="D18" s="406"/>
      <c r="E18" s="406"/>
      <c r="F18" s="406"/>
      <c r="G18" s="406"/>
      <c r="H18" s="332"/>
      <c r="I18" s="187"/>
      <c r="J18" s="188"/>
      <c r="K18" s="272"/>
    </row>
    <row r="19" spans="1:11" s="337" customFormat="1" ht="20.25" customHeight="1">
      <c r="A19" s="215" t="s">
        <v>271</v>
      </c>
      <c r="B19" s="408">
        <f t="shared" ref="B19:G19" si="3">SUM(B20:B21)</f>
        <v>2281</v>
      </c>
      <c r="C19" s="408">
        <f>SUM(C20:C21)</f>
        <v>1310</v>
      </c>
      <c r="D19" s="408">
        <f>SUM(D20:D21)</f>
        <v>161</v>
      </c>
      <c r="E19" s="408">
        <f t="shared" si="3"/>
        <v>26</v>
      </c>
      <c r="F19" s="408">
        <f>SUM(F20:F21)</f>
        <v>1393</v>
      </c>
      <c r="G19" s="408">
        <f t="shared" si="3"/>
        <v>2385</v>
      </c>
      <c r="H19" s="163"/>
      <c r="I19" s="183">
        <f>SUM(B19:E19)/F19</f>
        <v>2.712132089016511</v>
      </c>
      <c r="J19" s="184">
        <f>(G19/SUM(B19:E19))*100</f>
        <v>63.128639491794601</v>
      </c>
      <c r="K19" s="271">
        <f>(F19/SUM(B19:E19))*100</f>
        <v>36.871360508205399</v>
      </c>
    </row>
    <row r="20" spans="1:11" ht="20.25" customHeight="1">
      <c r="A20" s="213" t="s">
        <v>38</v>
      </c>
      <c r="B20" s="406">
        <v>1819</v>
      </c>
      <c r="C20" s="406">
        <v>825</v>
      </c>
      <c r="D20" s="406">
        <v>125</v>
      </c>
      <c r="E20" s="406">
        <v>12</v>
      </c>
      <c r="F20" s="406">
        <v>869</v>
      </c>
      <c r="G20" s="406">
        <v>1912</v>
      </c>
      <c r="H20" s="332"/>
      <c r="I20" s="187">
        <f>SUM(B20:E20)/F20</f>
        <v>3.2002301495972381</v>
      </c>
      <c r="J20" s="188">
        <f>(G20/SUM(B20:E20))*100</f>
        <v>68.752247393024092</v>
      </c>
      <c r="K20" s="272">
        <f>(F20/SUM(B20:E20))*100</f>
        <v>31.247752606975908</v>
      </c>
    </row>
    <row r="21" spans="1:11" ht="20.25" customHeight="1">
      <c r="A21" s="213" t="s">
        <v>39</v>
      </c>
      <c r="B21" s="406">
        <v>462</v>
      </c>
      <c r="C21" s="406">
        <v>485</v>
      </c>
      <c r="D21" s="406">
        <v>36</v>
      </c>
      <c r="E21" s="406">
        <v>14</v>
      </c>
      <c r="F21" s="406">
        <v>524</v>
      </c>
      <c r="G21" s="406">
        <v>473</v>
      </c>
      <c r="H21" s="332"/>
      <c r="I21" s="187">
        <f>SUM(B21:E21)/F21</f>
        <v>1.9026717557251909</v>
      </c>
      <c r="J21" s="188">
        <f>(G21/SUM(B21:E21))*100</f>
        <v>47.442326980942831</v>
      </c>
      <c r="K21" s="272">
        <f>(F21/SUM(B21:E21))*100</f>
        <v>52.557673019057169</v>
      </c>
    </row>
    <row r="22" spans="1:11" ht="20.25" customHeight="1">
      <c r="A22" s="179"/>
      <c r="B22" s="406"/>
      <c r="C22" s="406"/>
      <c r="D22" s="406"/>
      <c r="E22" s="406"/>
      <c r="F22" s="406"/>
      <c r="G22" s="406"/>
      <c r="H22" s="332"/>
      <c r="I22" s="187"/>
      <c r="J22" s="188"/>
      <c r="K22" s="272"/>
    </row>
    <row r="23" spans="1:11" s="337" customFormat="1" ht="20.25" customHeight="1">
      <c r="A23" s="215" t="s">
        <v>280</v>
      </c>
      <c r="B23" s="408">
        <f t="shared" ref="B23:G23" si="4">SUM(B24:B25)</f>
        <v>1268</v>
      </c>
      <c r="C23" s="408">
        <f>SUM(C24:C25)</f>
        <v>1217</v>
      </c>
      <c r="D23" s="408">
        <f>SUM(D24:D25)</f>
        <v>107</v>
      </c>
      <c r="E23" s="408">
        <f t="shared" si="4"/>
        <v>2</v>
      </c>
      <c r="F23" s="408">
        <f>SUM(F24:F25)</f>
        <v>1224</v>
      </c>
      <c r="G23" s="408">
        <f t="shared" si="4"/>
        <v>1370</v>
      </c>
      <c r="H23" s="163"/>
      <c r="I23" s="183">
        <f>SUM(B23:E23)/F23</f>
        <v>2.119281045751634</v>
      </c>
      <c r="J23" s="184">
        <f>(G23/SUM(B23:E23))*100</f>
        <v>52.814186584425592</v>
      </c>
      <c r="K23" s="271">
        <f>(F23/SUM(B23:E23))*100</f>
        <v>47.185813415574401</v>
      </c>
    </row>
    <row r="24" spans="1:11" ht="20.25" customHeight="1">
      <c r="A24" s="213" t="s">
        <v>40</v>
      </c>
      <c r="B24" s="406">
        <v>991</v>
      </c>
      <c r="C24" s="406">
        <v>954</v>
      </c>
      <c r="D24" s="406">
        <v>100</v>
      </c>
      <c r="E24" s="406">
        <v>0</v>
      </c>
      <c r="F24" s="406">
        <v>908</v>
      </c>
      <c r="G24" s="406">
        <v>1137</v>
      </c>
      <c r="H24" s="332"/>
      <c r="I24" s="187">
        <f>SUM(B24:E24)/F24</f>
        <v>2.2522026431718061</v>
      </c>
      <c r="J24" s="188">
        <f>(G24/SUM(B24:E24))*100</f>
        <v>55.599022004889974</v>
      </c>
      <c r="K24" s="272">
        <f>(F24/SUM(B24:E24))*100</f>
        <v>44.400977995110026</v>
      </c>
    </row>
    <row r="25" spans="1:11" ht="20.25" customHeight="1">
      <c r="A25" s="213" t="s">
        <v>968</v>
      </c>
      <c r="B25" s="406">
        <v>277</v>
      </c>
      <c r="C25" s="406">
        <v>263</v>
      </c>
      <c r="D25" s="406">
        <v>7</v>
      </c>
      <c r="E25" s="406">
        <v>2</v>
      </c>
      <c r="F25" s="406">
        <v>316</v>
      </c>
      <c r="G25" s="406">
        <v>233</v>
      </c>
      <c r="H25" s="332"/>
      <c r="I25" s="187">
        <f>SUM(B25:E25)/F25</f>
        <v>1.7373417721518987</v>
      </c>
      <c r="J25" s="188">
        <f>(G25/SUM(B25:E25))*100</f>
        <v>42.440801457194901</v>
      </c>
      <c r="K25" s="272">
        <f>(F25/SUM(B25:E25))*100</f>
        <v>57.559198542805099</v>
      </c>
    </row>
    <row r="26" spans="1:11" ht="20.25" customHeight="1">
      <c r="A26" s="213"/>
      <c r="B26" s="406"/>
      <c r="C26" s="406"/>
      <c r="D26" s="406"/>
      <c r="E26" s="406"/>
      <c r="F26" s="406"/>
      <c r="G26" s="406"/>
      <c r="H26" s="332"/>
      <c r="I26" s="187"/>
      <c r="J26" s="188"/>
      <c r="K26" s="272"/>
    </row>
    <row r="27" spans="1:11" s="337" customFormat="1" ht="20.25" customHeight="1">
      <c r="A27" s="215" t="s">
        <v>287</v>
      </c>
      <c r="B27" s="408">
        <f t="shared" ref="B27:G27" si="5">SUM(B28:B29)</f>
        <v>1286</v>
      </c>
      <c r="C27" s="408">
        <f t="shared" si="5"/>
        <v>920</v>
      </c>
      <c r="D27" s="408">
        <f t="shared" si="5"/>
        <v>86</v>
      </c>
      <c r="E27" s="408">
        <f t="shared" si="5"/>
        <v>27</v>
      </c>
      <c r="F27" s="408">
        <f t="shared" si="5"/>
        <v>1104</v>
      </c>
      <c r="G27" s="408">
        <f t="shared" si="5"/>
        <v>1215</v>
      </c>
      <c r="H27" s="163"/>
      <c r="I27" s="183">
        <f>SUM(B27:E27)/F27</f>
        <v>2.1005434782608696</v>
      </c>
      <c r="J27" s="184">
        <f>(G27/SUM(B27:E27))*100</f>
        <v>52.393272962483827</v>
      </c>
      <c r="K27" s="271">
        <f>(F27/SUM(B27:E27))*100</f>
        <v>47.606727037516173</v>
      </c>
    </row>
    <row r="28" spans="1:11" ht="20.25" customHeight="1">
      <c r="A28" s="213" t="s">
        <v>41</v>
      </c>
      <c r="B28" s="406">
        <v>611</v>
      </c>
      <c r="C28" s="406">
        <v>399</v>
      </c>
      <c r="D28" s="406">
        <v>73</v>
      </c>
      <c r="E28" s="406">
        <v>20</v>
      </c>
      <c r="F28" s="406">
        <v>560</v>
      </c>
      <c r="G28" s="406">
        <v>543</v>
      </c>
      <c r="H28" s="332"/>
      <c r="I28" s="187">
        <f>SUM(B28:E28)/F28</f>
        <v>1.9696428571428573</v>
      </c>
      <c r="J28" s="188">
        <f>(G28/SUM(B28:E28))*100</f>
        <v>49.229374433363553</v>
      </c>
      <c r="K28" s="272">
        <f>(F28/SUM(B28:E28))*100</f>
        <v>50.770625566636454</v>
      </c>
    </row>
    <row r="29" spans="1:11" ht="20.25" customHeight="1">
      <c r="A29" s="213" t="s">
        <v>969</v>
      </c>
      <c r="B29" s="406">
        <v>675</v>
      </c>
      <c r="C29" s="406">
        <v>521</v>
      </c>
      <c r="D29" s="406">
        <v>13</v>
      </c>
      <c r="E29" s="406">
        <v>7</v>
      </c>
      <c r="F29" s="406">
        <v>544</v>
      </c>
      <c r="G29" s="406">
        <v>672</v>
      </c>
      <c r="H29" s="332"/>
      <c r="I29" s="187">
        <f>SUM(B29:E29)/F29</f>
        <v>2.2352941176470589</v>
      </c>
      <c r="J29" s="188">
        <f>(G29/SUM(B29:E29))*100</f>
        <v>55.26315789473685</v>
      </c>
      <c r="K29" s="272">
        <f>(F29/SUM(B29:E29))*100</f>
        <v>44.736842105263158</v>
      </c>
    </row>
    <row r="30" spans="1:11" ht="20.25" customHeight="1">
      <c r="A30" s="213"/>
      <c r="B30" s="406"/>
      <c r="C30" s="406"/>
      <c r="D30" s="406"/>
      <c r="E30" s="406"/>
      <c r="F30" s="406"/>
      <c r="G30" s="406"/>
      <c r="H30" s="332"/>
      <c r="I30" s="187"/>
      <c r="J30" s="188"/>
      <c r="K30" s="272"/>
    </row>
    <row r="31" spans="1:11" s="337" customFormat="1" ht="20.25" customHeight="1">
      <c r="A31" s="215" t="s">
        <v>294</v>
      </c>
      <c r="B31" s="408">
        <f t="shared" ref="B31:G31" si="6">SUM(B32:B34)</f>
        <v>664</v>
      </c>
      <c r="C31" s="408">
        <f t="shared" si="6"/>
        <v>606</v>
      </c>
      <c r="D31" s="408">
        <f t="shared" si="6"/>
        <v>76</v>
      </c>
      <c r="E31" s="408">
        <f t="shared" si="6"/>
        <v>2</v>
      </c>
      <c r="F31" s="408">
        <f t="shared" si="6"/>
        <v>598</v>
      </c>
      <c r="G31" s="408">
        <f t="shared" si="6"/>
        <v>750</v>
      </c>
      <c r="H31" s="163"/>
      <c r="I31" s="183">
        <f>SUM(B31:E31)/F31</f>
        <v>2.2541806020066888</v>
      </c>
      <c r="J31" s="184">
        <f>(G31/SUM(B31:E31))*100</f>
        <v>55.637982195845694</v>
      </c>
      <c r="K31" s="271">
        <f>(F31/SUM(B31:E31))*100</f>
        <v>44.362017804154306</v>
      </c>
    </row>
    <row r="32" spans="1:11" ht="20.25" customHeight="1">
      <c r="A32" s="213" t="s">
        <v>42</v>
      </c>
      <c r="B32" s="406">
        <v>251</v>
      </c>
      <c r="C32" s="406">
        <v>199</v>
      </c>
      <c r="D32" s="406">
        <v>42</v>
      </c>
      <c r="E32" s="406">
        <v>0</v>
      </c>
      <c r="F32" s="406">
        <v>197</v>
      </c>
      <c r="G32" s="406">
        <v>295</v>
      </c>
      <c r="H32" s="332"/>
      <c r="I32" s="187">
        <f>SUM(B32:E32)/F32</f>
        <v>2.4974619289340101</v>
      </c>
      <c r="J32" s="188">
        <f>(G32/SUM(B32:E32))*100</f>
        <v>59.959349593495936</v>
      </c>
      <c r="K32" s="272">
        <f>(F32/SUM(B32:E32))*100</f>
        <v>40.040650406504064</v>
      </c>
    </row>
    <row r="33" spans="1:11" ht="20.25" customHeight="1">
      <c r="A33" s="213" t="s">
        <v>970</v>
      </c>
      <c r="B33" s="406">
        <v>222</v>
      </c>
      <c r="C33" s="406">
        <v>285</v>
      </c>
      <c r="D33" s="406">
        <v>17</v>
      </c>
      <c r="E33" s="406">
        <v>2</v>
      </c>
      <c r="F33" s="406">
        <v>215</v>
      </c>
      <c r="G33" s="406">
        <v>311</v>
      </c>
      <c r="H33" s="332"/>
      <c r="I33" s="187">
        <f>SUM(B33:E33)/F33</f>
        <v>2.4465116279069767</v>
      </c>
      <c r="J33" s="188">
        <f>(G33/SUM(B33:E33))*100</f>
        <v>59.125475285171106</v>
      </c>
      <c r="K33" s="272">
        <f>(F33/SUM(B33:E33))*100</f>
        <v>40.874524714828894</v>
      </c>
    </row>
    <row r="34" spans="1:11" ht="20.25" customHeight="1">
      <c r="A34" s="213" t="s">
        <v>971</v>
      </c>
      <c r="B34" s="406">
        <v>191</v>
      </c>
      <c r="C34" s="406">
        <v>122</v>
      </c>
      <c r="D34" s="406">
        <v>17</v>
      </c>
      <c r="E34" s="406">
        <v>0</v>
      </c>
      <c r="F34" s="406">
        <v>186</v>
      </c>
      <c r="G34" s="406">
        <v>144</v>
      </c>
      <c r="H34" s="332"/>
      <c r="I34" s="187">
        <f>SUM(B34:E34)/F34</f>
        <v>1.7741935483870968</v>
      </c>
      <c r="J34" s="188">
        <f>(G34/SUM(B34:E34))*100</f>
        <v>43.636363636363633</v>
      </c>
      <c r="K34" s="272">
        <f>(F34/SUM(B34:E34))*100</f>
        <v>56.36363636363636</v>
      </c>
    </row>
    <row r="35" spans="1:11" ht="20.25" customHeight="1">
      <c r="A35" s="213"/>
      <c r="B35" s="406"/>
      <c r="C35" s="406"/>
      <c r="D35" s="406"/>
      <c r="E35" s="406"/>
      <c r="F35" s="406"/>
      <c r="G35" s="406"/>
      <c r="H35" s="332"/>
      <c r="I35" s="187"/>
      <c r="J35" s="188"/>
      <c r="K35" s="272"/>
    </row>
    <row r="36" spans="1:11" s="337" customFormat="1" ht="20.25" customHeight="1">
      <c r="A36" s="215" t="s">
        <v>303</v>
      </c>
      <c r="B36" s="408">
        <f t="shared" ref="B36:G36" si="7">SUM(B37:B39)</f>
        <v>2504</v>
      </c>
      <c r="C36" s="408">
        <f>SUM(C37:C39)</f>
        <v>1349</v>
      </c>
      <c r="D36" s="408">
        <f>SUM(D37:D39)</f>
        <v>139</v>
      </c>
      <c r="E36" s="408">
        <f t="shared" si="7"/>
        <v>29</v>
      </c>
      <c r="F36" s="408">
        <f>SUM(F37:F39)</f>
        <v>1574</v>
      </c>
      <c r="G36" s="408">
        <f t="shared" si="7"/>
        <v>2447</v>
      </c>
      <c r="H36" s="163"/>
      <c r="I36" s="183">
        <f>SUM(B36:E36)/F36</f>
        <v>2.5546378653113089</v>
      </c>
      <c r="J36" s="184">
        <f>(G36/SUM(B36:E36))*100</f>
        <v>60.855508579955227</v>
      </c>
      <c r="K36" s="271">
        <f>(F36/SUM(B36:E36))*100</f>
        <v>39.144491420044766</v>
      </c>
    </row>
    <row r="37" spans="1:11" ht="20.25" customHeight="1">
      <c r="A37" s="213" t="s">
        <v>43</v>
      </c>
      <c r="B37" s="406">
        <v>1982</v>
      </c>
      <c r="C37" s="406">
        <v>829</v>
      </c>
      <c r="D37" s="406">
        <v>95</v>
      </c>
      <c r="E37" s="406">
        <v>23</v>
      </c>
      <c r="F37" s="406">
        <v>1111</v>
      </c>
      <c r="G37" s="406">
        <v>1818</v>
      </c>
      <c r="H37" s="332"/>
      <c r="I37" s="187">
        <f>SUM(B37:E37)/F37</f>
        <v>2.6363636363636362</v>
      </c>
      <c r="J37" s="188">
        <f>(G37/SUM(B37:E37))*100</f>
        <v>62.068965517241381</v>
      </c>
      <c r="K37" s="272">
        <f>(F37/SUM(B37:E37))*100</f>
        <v>37.931034482758619</v>
      </c>
    </row>
    <row r="38" spans="1:11" ht="20.25" customHeight="1">
      <c r="A38" s="213" t="s">
        <v>972</v>
      </c>
      <c r="B38" s="406">
        <v>235</v>
      </c>
      <c r="C38" s="406">
        <v>209</v>
      </c>
      <c r="D38" s="406">
        <v>14</v>
      </c>
      <c r="E38" s="406">
        <v>6</v>
      </c>
      <c r="F38" s="406">
        <v>247</v>
      </c>
      <c r="G38" s="406">
        <v>217</v>
      </c>
      <c r="H38" s="332"/>
      <c r="I38" s="187">
        <f>SUM(B38:E38)/F38</f>
        <v>1.8785425101214575</v>
      </c>
      <c r="J38" s="188">
        <f>(G38/SUM(B38:E38))*100</f>
        <v>46.767241379310342</v>
      </c>
      <c r="K38" s="272">
        <f>(F38/SUM(B38:E38))*100</f>
        <v>53.232758620689658</v>
      </c>
    </row>
    <row r="39" spans="1:11" ht="20.25" customHeight="1">
      <c r="A39" s="213" t="s">
        <v>44</v>
      </c>
      <c r="B39" s="406">
        <v>287</v>
      </c>
      <c r="C39" s="406">
        <v>311</v>
      </c>
      <c r="D39" s="406">
        <v>30</v>
      </c>
      <c r="E39" s="406">
        <v>0</v>
      </c>
      <c r="F39" s="406">
        <v>216</v>
      </c>
      <c r="G39" s="406">
        <v>412</v>
      </c>
      <c r="H39" s="332"/>
      <c r="I39" s="187">
        <f>SUM(B39:E39)/F39</f>
        <v>2.9074074074074074</v>
      </c>
      <c r="J39" s="188">
        <f>(G39/SUM(B39:E39))*100</f>
        <v>65.605095541401269</v>
      </c>
      <c r="K39" s="272">
        <f>(F39/SUM(B39:E39))*100</f>
        <v>34.394904458598724</v>
      </c>
    </row>
    <row r="40" spans="1:11" ht="20.25" customHeight="1">
      <c r="A40" s="213"/>
      <c r="B40" s="406"/>
      <c r="C40" s="406"/>
      <c r="D40" s="406"/>
      <c r="E40" s="406"/>
      <c r="F40" s="406"/>
      <c r="G40" s="406"/>
      <c r="H40" s="332"/>
      <c r="I40" s="187"/>
      <c r="J40" s="188"/>
      <c r="K40" s="272"/>
    </row>
    <row r="41" spans="1:11" s="337" customFormat="1" ht="20.25" customHeight="1">
      <c r="A41" s="215" t="s">
        <v>812</v>
      </c>
      <c r="B41" s="408">
        <f t="shared" ref="B41:G41" si="8">SUM(B42:B44)</f>
        <v>2227</v>
      </c>
      <c r="C41" s="408">
        <f>SUM(C42:C44)</f>
        <v>1842</v>
      </c>
      <c r="D41" s="408">
        <f>SUM(D42:D44)</f>
        <v>100</v>
      </c>
      <c r="E41" s="408">
        <f t="shared" si="8"/>
        <v>20</v>
      </c>
      <c r="F41" s="408">
        <f>SUM(F42:F44)</f>
        <v>1459</v>
      </c>
      <c r="G41" s="408">
        <f t="shared" si="8"/>
        <v>2730</v>
      </c>
      <c r="H41" s="163"/>
      <c r="I41" s="183">
        <f>SUM(B41:E41)/F41</f>
        <v>2.8711446196024673</v>
      </c>
      <c r="J41" s="184">
        <f>(G41/SUM(B41:E41))*100</f>
        <v>65.170685127715444</v>
      </c>
      <c r="K41" s="271">
        <f>(F41/SUM(B41:E41))*100</f>
        <v>34.829314872284556</v>
      </c>
    </row>
    <row r="42" spans="1:11" ht="20.25" customHeight="1">
      <c r="A42" s="213" t="s">
        <v>45</v>
      </c>
      <c r="B42" s="406">
        <v>1363</v>
      </c>
      <c r="C42" s="406">
        <v>917</v>
      </c>
      <c r="D42" s="406">
        <v>28</v>
      </c>
      <c r="E42" s="406">
        <v>7</v>
      </c>
      <c r="F42" s="406">
        <v>575</v>
      </c>
      <c r="G42" s="406">
        <v>1740</v>
      </c>
      <c r="H42" s="332"/>
      <c r="I42" s="187">
        <f>SUM(B42:E42)/F42</f>
        <v>4.0260869565217394</v>
      </c>
      <c r="J42" s="188">
        <f>(G42/SUM(B42:E42))*100</f>
        <v>75.16198704103671</v>
      </c>
      <c r="K42" s="272">
        <f>(F42/SUM(B42:E42))*100</f>
        <v>24.838012958963283</v>
      </c>
    </row>
    <row r="43" spans="1:11" ht="20.25" customHeight="1">
      <c r="A43" s="213" t="s">
        <v>973</v>
      </c>
      <c r="B43" s="406">
        <v>515</v>
      </c>
      <c r="C43" s="406">
        <v>722</v>
      </c>
      <c r="D43" s="406">
        <v>57</v>
      </c>
      <c r="E43" s="406">
        <v>7</v>
      </c>
      <c r="F43" s="406">
        <v>691</v>
      </c>
      <c r="G43" s="406">
        <v>610</v>
      </c>
      <c r="H43" s="332"/>
      <c r="I43" s="187">
        <f>SUM(B43:E43)/F43</f>
        <v>1.8827785817655571</v>
      </c>
      <c r="J43" s="188">
        <f>(G43/SUM(B43:E43))*100</f>
        <v>46.887009992313608</v>
      </c>
      <c r="K43" s="272">
        <f>(F43/SUM(B43:E43))*100</f>
        <v>53.112990007686399</v>
      </c>
    </row>
    <row r="44" spans="1:11" ht="20.25" customHeight="1">
      <c r="A44" s="213" t="s">
        <v>46</v>
      </c>
      <c r="B44" s="406">
        <v>349</v>
      </c>
      <c r="C44" s="406">
        <v>203</v>
      </c>
      <c r="D44" s="406">
        <v>15</v>
      </c>
      <c r="E44" s="406">
        <v>6</v>
      </c>
      <c r="F44" s="406">
        <v>193</v>
      </c>
      <c r="G44" s="406">
        <v>380</v>
      </c>
      <c r="H44" s="332"/>
      <c r="I44" s="187">
        <f>SUM(B44:E44)/F44</f>
        <v>2.9689119170984455</v>
      </c>
      <c r="J44" s="188">
        <f>(G44/SUM(B44:E44))*100</f>
        <v>66.317626527050606</v>
      </c>
      <c r="K44" s="272">
        <f>(F44/SUM(B44:E44))*100</f>
        <v>33.682373472949386</v>
      </c>
    </row>
    <row r="45" spans="1:11" ht="20.25" customHeight="1">
      <c r="A45" s="213"/>
      <c r="B45" s="406"/>
      <c r="C45" s="406"/>
      <c r="D45" s="406"/>
      <c r="E45" s="406"/>
      <c r="F45" s="406"/>
      <c r="G45" s="406"/>
      <c r="H45" s="332"/>
      <c r="I45" s="187"/>
      <c r="J45" s="188"/>
      <c r="K45" s="272"/>
    </row>
    <row r="46" spans="1:11" s="337" customFormat="1" ht="20.25" customHeight="1">
      <c r="A46" s="215" t="s">
        <v>820</v>
      </c>
      <c r="B46" s="408">
        <f t="shared" ref="B46:G46" si="9">SUM(B47:B49)</f>
        <v>2521</v>
      </c>
      <c r="C46" s="408">
        <f>SUM(C47:C49)</f>
        <v>1366</v>
      </c>
      <c r="D46" s="408">
        <f>SUM(D47:D49)</f>
        <v>70</v>
      </c>
      <c r="E46" s="408">
        <f t="shared" si="9"/>
        <v>22</v>
      </c>
      <c r="F46" s="408">
        <f>SUM(F47:F49)</f>
        <v>1153</v>
      </c>
      <c r="G46" s="408">
        <f t="shared" si="9"/>
        <v>2826</v>
      </c>
      <c r="H46" s="163"/>
      <c r="I46" s="183">
        <f>SUM(B46:E46)/F46</f>
        <v>3.4509973980919342</v>
      </c>
      <c r="J46" s="184">
        <f>(G46/SUM(B46:E46))*100</f>
        <v>71.022870067856246</v>
      </c>
      <c r="K46" s="271">
        <f>(F46/SUM(B46:E46))*100</f>
        <v>28.977129932143754</v>
      </c>
    </row>
    <row r="47" spans="1:11" ht="20.25" customHeight="1">
      <c r="A47" s="213" t="s">
        <v>47</v>
      </c>
      <c r="B47" s="406">
        <v>1784</v>
      </c>
      <c r="C47" s="406">
        <v>689</v>
      </c>
      <c r="D47" s="406">
        <v>45</v>
      </c>
      <c r="E47" s="406">
        <v>10</v>
      </c>
      <c r="F47" s="406">
        <v>554</v>
      </c>
      <c r="G47" s="406">
        <v>1974</v>
      </c>
      <c r="H47" s="179"/>
      <c r="I47" s="187">
        <f>SUM(B47:E47)/F47</f>
        <v>4.5631768953068592</v>
      </c>
      <c r="J47" s="188">
        <f>(G47/SUM(B47:E47))*100</f>
        <v>78.085443037974684</v>
      </c>
      <c r="K47" s="272">
        <f>(F47/SUM(B47:E47))*100</f>
        <v>21.914556962025316</v>
      </c>
    </row>
    <row r="48" spans="1:11" s="337" customFormat="1" ht="20.25" customHeight="1">
      <c r="A48" s="213" t="s">
        <v>974</v>
      </c>
      <c r="B48" s="406">
        <v>499</v>
      </c>
      <c r="C48" s="406">
        <v>462</v>
      </c>
      <c r="D48" s="406">
        <v>16</v>
      </c>
      <c r="E48" s="406">
        <v>11</v>
      </c>
      <c r="F48" s="406">
        <v>413</v>
      </c>
      <c r="G48" s="406">
        <v>575</v>
      </c>
      <c r="H48" s="179"/>
      <c r="I48" s="187">
        <f>SUM(B48:E48)/F48</f>
        <v>2.3922518159806296</v>
      </c>
      <c r="J48" s="188">
        <f>(G48/SUM(B48:E48))*100</f>
        <v>58.198380566801625</v>
      </c>
      <c r="K48" s="272">
        <f>(F48/SUM(B48:E48))*100</f>
        <v>41.801619433198375</v>
      </c>
    </row>
    <row r="49" spans="1:11" ht="20.25" customHeight="1">
      <c r="A49" s="213" t="s">
        <v>48</v>
      </c>
      <c r="B49" s="406">
        <v>238</v>
      </c>
      <c r="C49" s="406">
        <v>215</v>
      </c>
      <c r="D49" s="406">
        <v>9</v>
      </c>
      <c r="E49" s="406">
        <v>1</v>
      </c>
      <c r="F49" s="406">
        <v>186</v>
      </c>
      <c r="G49" s="406">
        <v>277</v>
      </c>
      <c r="H49" s="179"/>
      <c r="I49" s="187">
        <f>SUM(B49:E49)/F49</f>
        <v>2.489247311827957</v>
      </c>
      <c r="J49" s="188">
        <f>(G49/SUM(B49:E49))*100</f>
        <v>59.827213822894166</v>
      </c>
      <c r="K49" s="272">
        <f>(F49/SUM(B49:E49))*100</f>
        <v>40.172786177105827</v>
      </c>
    </row>
    <row r="50" spans="1:11" ht="20.25" customHeight="1">
      <c r="A50" s="213"/>
      <c r="B50" s="406"/>
      <c r="C50" s="406"/>
      <c r="D50" s="406"/>
      <c r="E50" s="406"/>
      <c r="F50" s="406"/>
      <c r="G50" s="406"/>
      <c r="H50" s="179"/>
      <c r="I50" s="187"/>
      <c r="J50" s="188"/>
      <c r="K50" s="272"/>
    </row>
    <row r="51" spans="1:11" s="337" customFormat="1" ht="20.25" customHeight="1">
      <c r="A51" s="215" t="s">
        <v>829</v>
      </c>
      <c r="B51" s="408">
        <f t="shared" ref="B51:G51" si="10">SUM(B52:B54)</f>
        <v>2450</v>
      </c>
      <c r="C51" s="408">
        <f t="shared" si="10"/>
        <v>1307</v>
      </c>
      <c r="D51" s="408">
        <f t="shared" si="10"/>
        <v>118</v>
      </c>
      <c r="E51" s="408">
        <f t="shared" si="10"/>
        <v>10</v>
      </c>
      <c r="F51" s="408">
        <f t="shared" si="10"/>
        <v>1259</v>
      </c>
      <c r="G51" s="408">
        <f t="shared" si="10"/>
        <v>2626</v>
      </c>
      <c r="H51" s="226"/>
      <c r="I51" s="183">
        <f>SUM(B51:E51)/F51</f>
        <v>3.0857823669579032</v>
      </c>
      <c r="J51" s="184">
        <f>(G51/SUM(B51:E51))*100</f>
        <v>67.5933075933076</v>
      </c>
      <c r="K51" s="271">
        <f>(F51/SUM(B51:E51))*100</f>
        <v>32.406692406692407</v>
      </c>
    </row>
    <row r="52" spans="1:11" ht="20.25" customHeight="1">
      <c r="A52" s="213" t="s">
        <v>49</v>
      </c>
      <c r="B52" s="406">
        <v>914</v>
      </c>
      <c r="C52" s="406">
        <v>288</v>
      </c>
      <c r="D52" s="406">
        <v>43</v>
      </c>
      <c r="E52" s="406">
        <v>1</v>
      </c>
      <c r="F52" s="406">
        <v>270</v>
      </c>
      <c r="G52" s="406">
        <v>976</v>
      </c>
      <c r="H52" s="179"/>
      <c r="I52" s="187">
        <f>SUM(B52:E52)/F52</f>
        <v>4.6148148148148147</v>
      </c>
      <c r="J52" s="188">
        <f>(G52/SUM(B52:E52))*100</f>
        <v>78.330658105938994</v>
      </c>
      <c r="K52" s="272">
        <f>(F52/SUM(B52:E52))*100</f>
        <v>21.669341894060995</v>
      </c>
    </row>
    <row r="53" spans="1:11" ht="20.25" customHeight="1">
      <c r="A53" s="213" t="s">
        <v>50</v>
      </c>
      <c r="B53" s="406">
        <v>1131</v>
      </c>
      <c r="C53" s="406">
        <v>513</v>
      </c>
      <c r="D53" s="406">
        <v>53</v>
      </c>
      <c r="E53" s="406">
        <v>7</v>
      </c>
      <c r="F53" s="406">
        <v>556</v>
      </c>
      <c r="G53" s="406">
        <v>1148</v>
      </c>
      <c r="H53" s="179"/>
      <c r="I53" s="187">
        <f>SUM(B53:E53)/F53</f>
        <v>3.064748201438849</v>
      </c>
      <c r="J53" s="188">
        <f>(G53/SUM(B53:E53))*100</f>
        <v>67.370892018779344</v>
      </c>
      <c r="K53" s="272">
        <f>(F53/SUM(B53:E53))*100</f>
        <v>32.629107981220656</v>
      </c>
    </row>
    <row r="54" spans="1:11" ht="20.25" customHeight="1">
      <c r="A54" s="213" t="s">
        <v>975</v>
      </c>
      <c r="B54" s="406">
        <v>405</v>
      </c>
      <c r="C54" s="406">
        <v>506</v>
      </c>
      <c r="D54" s="406">
        <v>22</v>
      </c>
      <c r="E54" s="406">
        <v>2</v>
      </c>
      <c r="F54" s="406">
        <v>433</v>
      </c>
      <c r="G54" s="406">
        <v>502</v>
      </c>
      <c r="H54" s="179"/>
      <c r="I54" s="187">
        <f>SUM(B54:E54)/F54</f>
        <v>2.159353348729792</v>
      </c>
      <c r="J54" s="188">
        <f>(G54/SUM(B54:E54))*100</f>
        <v>53.689839572192511</v>
      </c>
      <c r="K54" s="272">
        <f>(F54/SUM(B54:E54))*100</f>
        <v>46.310160427807482</v>
      </c>
    </row>
    <row r="55" spans="1:11" ht="20.25" customHeight="1">
      <c r="A55" s="179"/>
      <c r="B55" s="406"/>
      <c r="C55" s="406"/>
      <c r="D55" s="406"/>
      <c r="E55" s="406"/>
      <c r="F55" s="406"/>
      <c r="G55" s="406"/>
      <c r="H55" s="179"/>
      <c r="I55" s="187"/>
      <c r="J55" s="188"/>
      <c r="K55" s="272"/>
    </row>
    <row r="56" spans="1:11" s="337" customFormat="1" ht="20.25" customHeight="1">
      <c r="A56" s="215" t="s">
        <v>836</v>
      </c>
      <c r="B56" s="408">
        <f t="shared" ref="B56:G56" si="11">SUM(B57:B59)</f>
        <v>2231</v>
      </c>
      <c r="C56" s="408">
        <f>SUM(C57:C59)</f>
        <v>1178</v>
      </c>
      <c r="D56" s="408">
        <f>SUM(D57:D59)</f>
        <v>140</v>
      </c>
      <c r="E56" s="408">
        <f t="shared" si="11"/>
        <v>6</v>
      </c>
      <c r="F56" s="408">
        <f>SUM(F57:F59)</f>
        <v>1305</v>
      </c>
      <c r="G56" s="408">
        <f t="shared" si="11"/>
        <v>2250</v>
      </c>
      <c r="H56" s="226"/>
      <c r="I56" s="183">
        <f>SUM(B56:E56)/F56</f>
        <v>2.7241379310344827</v>
      </c>
      <c r="J56" s="184">
        <f>(G56/SUM(B56:E56))*100</f>
        <v>63.291139240506332</v>
      </c>
      <c r="K56" s="271">
        <f>(F56/SUM(B56:E56))*100</f>
        <v>36.708860759493675</v>
      </c>
    </row>
    <row r="57" spans="1:11" s="337" customFormat="1" ht="20.25" customHeight="1">
      <c r="A57" s="213" t="s">
        <v>51</v>
      </c>
      <c r="B57" s="406">
        <v>1369</v>
      </c>
      <c r="C57" s="406">
        <v>619</v>
      </c>
      <c r="D57" s="406">
        <v>95</v>
      </c>
      <c r="E57" s="406">
        <v>1</v>
      </c>
      <c r="F57" s="406">
        <v>537</v>
      </c>
      <c r="G57" s="406">
        <v>1547</v>
      </c>
      <c r="H57" s="179"/>
      <c r="I57" s="187">
        <f>SUM(B57:E57)/F57</f>
        <v>3.8808193668528865</v>
      </c>
      <c r="J57" s="188">
        <f>(G57/SUM(B57:E57))*100</f>
        <v>74.232245681381954</v>
      </c>
      <c r="K57" s="272">
        <f>(F57/SUM(B57:E57))*100</f>
        <v>25.767754318618042</v>
      </c>
    </row>
    <row r="58" spans="1:11" ht="20.25" customHeight="1">
      <c r="A58" s="213" t="s">
        <v>976</v>
      </c>
      <c r="B58" s="406">
        <v>553</v>
      </c>
      <c r="C58" s="406">
        <v>450</v>
      </c>
      <c r="D58" s="406">
        <v>15</v>
      </c>
      <c r="E58" s="406">
        <v>2</v>
      </c>
      <c r="F58" s="406">
        <v>569</v>
      </c>
      <c r="G58" s="406">
        <v>451</v>
      </c>
      <c r="H58" s="179"/>
      <c r="I58" s="187">
        <f>SUM(B58:E58)/F58</f>
        <v>1.7926186291739894</v>
      </c>
      <c r="J58" s="188">
        <f>(G58/SUM(B58:E58))*100</f>
        <v>44.2156862745098</v>
      </c>
      <c r="K58" s="272">
        <f>(F58/SUM(B58:E58))*100</f>
        <v>55.7843137254902</v>
      </c>
    </row>
    <row r="59" spans="1:11" ht="20.25" customHeight="1">
      <c r="A59" s="213" t="s">
        <v>52</v>
      </c>
      <c r="B59" s="406">
        <v>309</v>
      </c>
      <c r="C59" s="406">
        <v>109</v>
      </c>
      <c r="D59" s="406">
        <v>30</v>
      </c>
      <c r="E59" s="406">
        <v>3</v>
      </c>
      <c r="F59" s="406">
        <v>199</v>
      </c>
      <c r="G59" s="406">
        <v>252</v>
      </c>
      <c r="H59" s="179"/>
      <c r="I59" s="187">
        <f>SUM(B59:E59)/F59</f>
        <v>2.2663316582914574</v>
      </c>
      <c r="J59" s="188">
        <f>(G59/SUM(B59:E59))*100</f>
        <v>55.875831485587582</v>
      </c>
      <c r="K59" s="272">
        <f>(F59/SUM(B59:E59))*100</f>
        <v>44.124168514412418</v>
      </c>
    </row>
    <row r="60" spans="1:11" s="337" customFormat="1" ht="20.25" customHeight="1">
      <c r="A60" s="213"/>
      <c r="B60" s="406"/>
      <c r="C60" s="406"/>
      <c r="D60" s="406"/>
      <c r="E60" s="406"/>
      <c r="F60" s="406"/>
      <c r="G60" s="406"/>
      <c r="H60" s="179"/>
      <c r="I60" s="187"/>
      <c r="J60" s="188"/>
      <c r="K60" s="272"/>
    </row>
    <row r="61" spans="1:11" s="337" customFormat="1" ht="20.25" customHeight="1">
      <c r="A61" s="215" t="s">
        <v>845</v>
      </c>
      <c r="B61" s="408">
        <f t="shared" ref="B61:G61" si="12">SUM(B62:B63)</f>
        <v>493</v>
      </c>
      <c r="C61" s="408">
        <f t="shared" si="12"/>
        <v>800</v>
      </c>
      <c r="D61" s="408">
        <f>SUM(D62:D63)</f>
        <v>147</v>
      </c>
      <c r="E61" s="408">
        <f t="shared" si="12"/>
        <v>23</v>
      </c>
      <c r="F61" s="408">
        <f t="shared" si="12"/>
        <v>1092</v>
      </c>
      <c r="G61" s="408">
        <f t="shared" si="12"/>
        <v>371</v>
      </c>
      <c r="H61" s="226"/>
      <c r="I61" s="183">
        <f>SUM(B61:E61)/F61</f>
        <v>1.3397435897435896</v>
      </c>
      <c r="J61" s="184">
        <f>(G61/SUM(B61:E61))*100</f>
        <v>25.358851674641148</v>
      </c>
      <c r="K61" s="271">
        <f>(F61/SUM(B61:E61))*100</f>
        <v>74.641148325358856</v>
      </c>
    </row>
    <row r="62" spans="1:11" ht="20.25" customHeight="1">
      <c r="A62" s="213" t="s">
        <v>53</v>
      </c>
      <c r="B62" s="406">
        <v>310</v>
      </c>
      <c r="C62" s="406">
        <v>345</v>
      </c>
      <c r="D62" s="406">
        <v>102</v>
      </c>
      <c r="E62" s="406">
        <v>9</v>
      </c>
      <c r="F62" s="406">
        <v>552</v>
      </c>
      <c r="G62" s="406">
        <v>214</v>
      </c>
      <c r="H62" s="179"/>
      <c r="I62" s="187">
        <f>SUM(B62:E62)/F62</f>
        <v>1.3876811594202898</v>
      </c>
      <c r="J62" s="188">
        <f>(G62/SUM(B62:E62))*100</f>
        <v>27.93733681462141</v>
      </c>
      <c r="K62" s="272">
        <f>(F62/SUM(B62:E62))*100</f>
        <v>72.062663185378597</v>
      </c>
    </row>
    <row r="63" spans="1:11" ht="20.25" customHeight="1">
      <c r="A63" s="213" t="s">
        <v>977</v>
      </c>
      <c r="B63" s="406">
        <v>183</v>
      </c>
      <c r="C63" s="406">
        <v>455</v>
      </c>
      <c r="D63" s="406">
        <v>45</v>
      </c>
      <c r="E63" s="406">
        <v>14</v>
      </c>
      <c r="F63" s="406">
        <v>540</v>
      </c>
      <c r="G63" s="406">
        <v>157</v>
      </c>
      <c r="H63" s="179"/>
      <c r="I63" s="187">
        <f>SUM(B63:E63)/F63</f>
        <v>1.2907407407407407</v>
      </c>
      <c r="J63" s="188">
        <f>(G63/SUM(B63:E63))*100</f>
        <v>22.525107604017215</v>
      </c>
      <c r="K63" s="272">
        <f>(F63/SUM(B63:E63))*100</f>
        <v>77.474892395982792</v>
      </c>
    </row>
    <row r="64" spans="1:11" ht="20.25" customHeight="1">
      <c r="A64" s="213"/>
      <c r="B64" s="406"/>
      <c r="C64" s="406"/>
      <c r="D64" s="406"/>
      <c r="E64" s="406"/>
      <c r="F64" s="406"/>
      <c r="G64" s="406"/>
      <c r="H64" s="179"/>
      <c r="I64" s="187"/>
      <c r="J64" s="188"/>
      <c r="K64" s="272"/>
    </row>
    <row r="65" spans="1:11" s="337" customFormat="1" ht="20.25" customHeight="1">
      <c r="A65" s="215" t="s">
        <v>849</v>
      </c>
      <c r="B65" s="408">
        <f t="shared" ref="B65:G65" si="13">SUM(B66:B69)</f>
        <v>1912</v>
      </c>
      <c r="C65" s="408">
        <f t="shared" si="13"/>
        <v>925</v>
      </c>
      <c r="D65" s="408">
        <f t="shared" si="13"/>
        <v>94</v>
      </c>
      <c r="E65" s="408">
        <f t="shared" si="13"/>
        <v>8</v>
      </c>
      <c r="F65" s="408">
        <f t="shared" si="13"/>
        <v>853</v>
      </c>
      <c r="G65" s="408">
        <f t="shared" si="13"/>
        <v>2086</v>
      </c>
      <c r="H65" s="226"/>
      <c r="I65" s="183">
        <f>SUM(B65:E65)/F65</f>
        <v>3.4454865181711605</v>
      </c>
      <c r="J65" s="184">
        <f>(G65/SUM(B65:E65))*100</f>
        <v>70.976522626743787</v>
      </c>
      <c r="K65" s="271">
        <f>(F65/SUM(B65:E65))*100</f>
        <v>29.023477373256213</v>
      </c>
    </row>
    <row r="66" spans="1:11" ht="20.25" customHeight="1">
      <c r="A66" s="213" t="s">
        <v>54</v>
      </c>
      <c r="B66" s="406">
        <v>472</v>
      </c>
      <c r="C66" s="406">
        <v>246</v>
      </c>
      <c r="D66" s="406">
        <v>29</v>
      </c>
      <c r="E66" s="406">
        <v>4</v>
      </c>
      <c r="F66" s="406">
        <v>182</v>
      </c>
      <c r="G66" s="406">
        <v>569</v>
      </c>
      <c r="H66" s="179"/>
      <c r="I66" s="187">
        <f>SUM(B66:E66)/F66</f>
        <v>4.1263736263736268</v>
      </c>
      <c r="J66" s="188">
        <f>(G66/SUM(B66:E66))*100</f>
        <v>75.765645805592541</v>
      </c>
      <c r="K66" s="272">
        <f>(F66/SUM(B66:E66))*100</f>
        <v>24.234354194407455</v>
      </c>
    </row>
    <row r="67" spans="1:11" ht="20.25" customHeight="1">
      <c r="A67" s="213" t="s">
        <v>55</v>
      </c>
      <c r="B67" s="406">
        <v>376</v>
      </c>
      <c r="C67" s="406">
        <v>219</v>
      </c>
      <c r="D67" s="406">
        <v>26</v>
      </c>
      <c r="E67" s="406">
        <v>2</v>
      </c>
      <c r="F67" s="406">
        <v>208</v>
      </c>
      <c r="G67" s="406">
        <v>415</v>
      </c>
      <c r="H67" s="179"/>
      <c r="I67" s="187">
        <f>SUM(B67:E67)/F67</f>
        <v>2.9951923076923075</v>
      </c>
      <c r="J67" s="188">
        <f>(G67/SUM(B67:E67))*100</f>
        <v>66.613162118780096</v>
      </c>
      <c r="K67" s="272">
        <f>(F67/SUM(B67:E67))*100</f>
        <v>33.386837881219904</v>
      </c>
    </row>
    <row r="68" spans="1:11" ht="20.25" customHeight="1">
      <c r="A68" s="213" t="s">
        <v>56</v>
      </c>
      <c r="B68" s="406">
        <v>928</v>
      </c>
      <c r="C68" s="406">
        <v>273</v>
      </c>
      <c r="D68" s="406">
        <v>27</v>
      </c>
      <c r="E68" s="406">
        <v>2</v>
      </c>
      <c r="F68" s="406">
        <v>299</v>
      </c>
      <c r="G68" s="406">
        <v>931</v>
      </c>
      <c r="H68" s="179"/>
      <c r="I68" s="187">
        <f>SUM(B68:E68)/F68</f>
        <v>4.1137123745819402</v>
      </c>
      <c r="J68" s="188">
        <f>(G68/SUM(B68:E68))*100</f>
        <v>75.691056910569117</v>
      </c>
      <c r="K68" s="272">
        <f>(F68/SUM(B68:E68))*100</f>
        <v>24.308943089430894</v>
      </c>
    </row>
    <row r="69" spans="1:11" s="337" customFormat="1" ht="20.25" customHeight="1">
      <c r="A69" s="213" t="s">
        <v>978</v>
      </c>
      <c r="B69" s="406">
        <v>136</v>
      </c>
      <c r="C69" s="406">
        <v>187</v>
      </c>
      <c r="D69" s="406">
        <v>12</v>
      </c>
      <c r="E69" s="406">
        <v>0</v>
      </c>
      <c r="F69" s="406">
        <v>164</v>
      </c>
      <c r="G69" s="406">
        <v>171</v>
      </c>
      <c r="H69" s="179"/>
      <c r="I69" s="187">
        <f>SUM(B69:E69)/F69</f>
        <v>2.0426829268292681</v>
      </c>
      <c r="J69" s="188">
        <f>(G69/SUM(B69:E69))*100</f>
        <v>51.044776119402989</v>
      </c>
      <c r="K69" s="272">
        <f>(F69/SUM(B69:E69))*100</f>
        <v>48.955223880597018</v>
      </c>
    </row>
    <row r="70" spans="1:11" s="338" customFormat="1" ht="20.25" customHeight="1">
      <c r="A70" s="213"/>
      <c r="B70" s="406"/>
      <c r="C70" s="406"/>
      <c r="D70" s="406"/>
      <c r="E70" s="406"/>
      <c r="F70" s="406"/>
      <c r="G70" s="406"/>
      <c r="H70" s="179"/>
      <c r="I70" s="187"/>
      <c r="J70" s="188"/>
      <c r="K70" s="272"/>
    </row>
    <row r="71" spans="1:11" s="337" customFormat="1" ht="20.25" customHeight="1">
      <c r="A71" s="215" t="s">
        <v>857</v>
      </c>
      <c r="B71" s="408">
        <f t="shared" ref="B71:G71" si="14">SUM(B72:B73)</f>
        <v>2495</v>
      </c>
      <c r="C71" s="408">
        <f>SUM(C72:C73)</f>
        <v>1561</v>
      </c>
      <c r="D71" s="408">
        <f>SUM(D72:D73)</f>
        <v>126</v>
      </c>
      <c r="E71" s="408">
        <f t="shared" si="14"/>
        <v>19</v>
      </c>
      <c r="F71" s="408">
        <f t="shared" si="14"/>
        <v>1091</v>
      </c>
      <c r="G71" s="408">
        <f t="shared" si="14"/>
        <v>3110</v>
      </c>
      <c r="H71" s="226"/>
      <c r="I71" s="183">
        <f>SUM(B71:E71)/F71</f>
        <v>3.8505957836846929</v>
      </c>
      <c r="J71" s="184">
        <f>(G71/SUM(B71:E71))*100</f>
        <v>74.02999285884313</v>
      </c>
      <c r="K71" s="271">
        <f>(F71/SUM(B71:E71))*100</f>
        <v>25.97000714115687</v>
      </c>
    </row>
    <row r="72" spans="1:11" ht="20.25" customHeight="1">
      <c r="A72" s="213" t="s">
        <v>57</v>
      </c>
      <c r="B72" s="406">
        <v>2219</v>
      </c>
      <c r="C72" s="406">
        <v>1240</v>
      </c>
      <c r="D72" s="406">
        <v>105</v>
      </c>
      <c r="E72" s="406">
        <v>13</v>
      </c>
      <c r="F72" s="406">
        <v>752</v>
      </c>
      <c r="G72" s="406">
        <v>2825</v>
      </c>
      <c r="H72" s="179"/>
      <c r="I72" s="187">
        <f>SUM(B72:E72)/F72</f>
        <v>4.7566489361702127</v>
      </c>
      <c r="J72" s="188">
        <f>(G72/SUM(B72:E72))*100</f>
        <v>78.976796197931236</v>
      </c>
      <c r="K72" s="272">
        <f>(F72/SUM(B72:E72))*100</f>
        <v>21.023203802068775</v>
      </c>
    </row>
    <row r="73" spans="1:11" s="338" customFormat="1" ht="20.25" customHeight="1">
      <c r="A73" s="213" t="s">
        <v>979</v>
      </c>
      <c r="B73" s="406">
        <v>276</v>
      </c>
      <c r="C73" s="406">
        <v>321</v>
      </c>
      <c r="D73" s="406">
        <v>21</v>
      </c>
      <c r="E73" s="406">
        <v>6</v>
      </c>
      <c r="F73" s="406">
        <v>339</v>
      </c>
      <c r="G73" s="406">
        <v>285</v>
      </c>
      <c r="H73" s="179"/>
      <c r="I73" s="187">
        <f>SUM(B73:E73)/F73</f>
        <v>1.8407079646017699</v>
      </c>
      <c r="J73" s="188">
        <f>(G73/SUM(B73:E73))*100</f>
        <v>45.67307692307692</v>
      </c>
      <c r="K73" s="272">
        <f>(F73/SUM(B73:E73))*100</f>
        <v>54.326923076923073</v>
      </c>
    </row>
    <row r="74" spans="1:11" s="338" customFormat="1" ht="20.25" customHeight="1">
      <c r="A74" s="213"/>
      <c r="B74" s="406"/>
      <c r="C74" s="406"/>
      <c r="D74" s="406"/>
      <c r="E74" s="406"/>
      <c r="F74" s="406"/>
      <c r="G74" s="406"/>
      <c r="H74" s="179"/>
      <c r="I74" s="187"/>
      <c r="J74" s="188"/>
      <c r="K74" s="272"/>
    </row>
    <row r="75" spans="1:11" s="409" customFormat="1" ht="20.25" customHeight="1">
      <c r="A75" s="215" t="s">
        <v>860</v>
      </c>
      <c r="B75" s="408">
        <f t="shared" ref="B75:G75" si="15">SUM(B76:B78)</f>
        <v>2242</v>
      </c>
      <c r="C75" s="408">
        <f>SUM(C76:C78)</f>
        <v>1317</v>
      </c>
      <c r="D75" s="408">
        <f>SUM(D76:D78)</f>
        <v>247</v>
      </c>
      <c r="E75" s="408">
        <f t="shared" si="15"/>
        <v>3</v>
      </c>
      <c r="F75" s="408">
        <f t="shared" si="15"/>
        <v>1432</v>
      </c>
      <c r="G75" s="408">
        <f t="shared" si="15"/>
        <v>2377</v>
      </c>
      <c r="H75" s="226"/>
      <c r="I75" s="183">
        <f>SUM(B75:E75)/F75</f>
        <v>2.6599162011173183</v>
      </c>
      <c r="J75" s="184">
        <f>(G75/SUM(B75:E75))*100</f>
        <v>62.404830664216327</v>
      </c>
      <c r="K75" s="271">
        <f>(F75/SUM(B75:E75))*100</f>
        <v>37.595169335783666</v>
      </c>
    </row>
    <row r="76" spans="1:11" s="338" customFormat="1" ht="20.25" customHeight="1">
      <c r="A76" s="213" t="s">
        <v>58</v>
      </c>
      <c r="B76" s="406">
        <v>1516</v>
      </c>
      <c r="C76" s="406">
        <v>595</v>
      </c>
      <c r="D76" s="406">
        <v>103</v>
      </c>
      <c r="E76" s="406">
        <v>2</v>
      </c>
      <c r="F76" s="406">
        <v>520</v>
      </c>
      <c r="G76" s="406">
        <v>1696</v>
      </c>
      <c r="H76" s="179"/>
      <c r="I76" s="187">
        <f>SUM(B76:E76)/F76</f>
        <v>4.2615384615384615</v>
      </c>
      <c r="J76" s="188">
        <f>(G76/SUM(B76:E76))*100</f>
        <v>76.53429602888086</v>
      </c>
      <c r="K76" s="272">
        <f>(F76/SUM(B76:E76))*100</f>
        <v>23.465703971119133</v>
      </c>
    </row>
    <row r="77" spans="1:11" s="338" customFormat="1" ht="20.25" customHeight="1">
      <c r="A77" s="213" t="s">
        <v>980</v>
      </c>
      <c r="B77" s="406">
        <v>571</v>
      </c>
      <c r="C77" s="406">
        <v>572</v>
      </c>
      <c r="D77" s="406">
        <v>137</v>
      </c>
      <c r="E77" s="406">
        <v>0</v>
      </c>
      <c r="F77" s="406">
        <v>735</v>
      </c>
      <c r="G77" s="406">
        <v>545</v>
      </c>
      <c r="H77" s="179"/>
      <c r="I77" s="187">
        <f>SUM(B77:E77)/F77</f>
        <v>1.7414965986394557</v>
      </c>
      <c r="J77" s="188">
        <f>(G77/SUM(B77:E77))*100</f>
        <v>42.578125</v>
      </c>
      <c r="K77" s="272">
        <f>(F77/SUM(B77:E77))*100</f>
        <v>57.421875</v>
      </c>
    </row>
    <row r="78" spans="1:11" s="338" customFormat="1" ht="20.25" customHeight="1">
      <c r="A78" s="213" t="s">
        <v>981</v>
      </c>
      <c r="B78" s="406">
        <v>155</v>
      </c>
      <c r="C78" s="406">
        <v>150</v>
      </c>
      <c r="D78" s="406">
        <v>7</v>
      </c>
      <c r="E78" s="406">
        <v>1</v>
      </c>
      <c r="F78" s="406">
        <v>177</v>
      </c>
      <c r="G78" s="406">
        <v>136</v>
      </c>
      <c r="H78" s="179"/>
      <c r="I78" s="187">
        <f>SUM(B78:E78)/F78</f>
        <v>1.768361581920904</v>
      </c>
      <c r="J78" s="188">
        <f>(G78/SUM(B78:E78))*100</f>
        <v>43.450479233226837</v>
      </c>
      <c r="K78" s="272">
        <f>(F78/SUM(B78:E78))*100</f>
        <v>56.549520766773163</v>
      </c>
    </row>
    <row r="79" spans="1:11" s="338" customFormat="1" ht="20.25" customHeight="1">
      <c r="A79" s="339"/>
      <c r="B79" s="407"/>
      <c r="C79" s="407"/>
      <c r="D79" s="407"/>
      <c r="E79" s="407"/>
      <c r="F79" s="407"/>
      <c r="G79" s="407"/>
      <c r="H79" s="217"/>
      <c r="I79" s="218"/>
      <c r="J79" s="218"/>
      <c r="K79" s="218"/>
    </row>
    <row r="80" spans="1:11" ht="20.25" customHeight="1">
      <c r="A80" s="39" t="s">
        <v>1072</v>
      </c>
    </row>
  </sheetData>
  <sheetProtection selectLockedCells="1" selectUnlockedCells="1"/>
  <mergeCells count="3">
    <mergeCell ref="A3:K3"/>
    <mergeCell ref="B5:G5"/>
    <mergeCell ref="I5:K5"/>
  </mergeCells>
  <phoneticPr fontId="0" type="noConversion"/>
  <printOptions horizontalCentered="1" verticalCentered="1"/>
  <pageMargins left="0.60972222222222228" right="0.67986111111111114" top="0" bottom="0" header="0.51180555555555551" footer="0.51180555555555551"/>
  <pageSetup scale="33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00B0F0"/>
  </sheetPr>
  <dimension ref="A1:K68"/>
  <sheetViews>
    <sheetView workbookViewId="0">
      <selection activeCell="A3" sqref="A3:K3"/>
    </sheetView>
  </sheetViews>
  <sheetFormatPr baseColWidth="10" defaultColWidth="11.44140625" defaultRowHeight="21"/>
  <cols>
    <col min="1" max="1" width="60.88671875" style="341" customWidth="1"/>
    <col min="2" max="2" width="19.44140625" style="341" customWidth="1"/>
    <col min="3" max="3" width="19" style="341" customWidth="1"/>
    <col min="4" max="6" width="19.33203125" style="341" customWidth="1"/>
    <col min="7" max="7" width="17.88671875" style="341" customWidth="1"/>
    <col min="8" max="8" width="5.6640625" style="342" customWidth="1"/>
    <col min="9" max="11" width="18.6640625" style="342" customWidth="1"/>
    <col min="12" max="16384" width="11.44140625" style="341"/>
  </cols>
  <sheetData>
    <row r="1" spans="1:11">
      <c r="A1" s="287" t="s">
        <v>59</v>
      </c>
      <c r="B1" s="154"/>
      <c r="C1" s="154"/>
      <c r="D1" s="154"/>
      <c r="E1" s="154"/>
      <c r="F1" s="154"/>
      <c r="G1" s="154"/>
    </row>
    <row r="2" spans="1:11">
      <c r="A2" s="343"/>
      <c r="B2" s="343"/>
      <c r="C2" s="343"/>
      <c r="D2" s="343"/>
      <c r="E2" s="343"/>
      <c r="F2" s="343"/>
      <c r="G2" s="343"/>
    </row>
    <row r="3" spans="1:11">
      <c r="A3" s="457" t="s">
        <v>1073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</row>
    <row r="4" spans="1:11">
      <c r="A4" s="158"/>
      <c r="B4" s="158"/>
      <c r="C4" s="158"/>
      <c r="D4" s="158"/>
      <c r="E4" s="158"/>
      <c r="F4" s="158"/>
      <c r="G4" s="158"/>
      <c r="H4" s="344"/>
      <c r="I4" s="344"/>
      <c r="J4" s="344"/>
      <c r="K4" s="344"/>
    </row>
    <row r="5" spans="1:11" ht="20.25" customHeight="1">
      <c r="A5" s="254"/>
      <c r="B5" s="458" t="s">
        <v>535</v>
      </c>
      <c r="C5" s="458"/>
      <c r="D5" s="458"/>
      <c r="E5" s="458"/>
      <c r="F5" s="458"/>
      <c r="G5" s="458"/>
      <c r="H5" s="345"/>
      <c r="I5" s="462" t="s">
        <v>536</v>
      </c>
      <c r="J5" s="462"/>
      <c r="K5" s="462"/>
    </row>
    <row r="6" spans="1:11">
      <c r="A6" s="186" t="s">
        <v>60</v>
      </c>
      <c r="B6" s="294" t="s">
        <v>712</v>
      </c>
      <c r="C6" s="346" t="s">
        <v>539</v>
      </c>
      <c r="D6" s="346" t="s">
        <v>539</v>
      </c>
      <c r="E6" s="346" t="s">
        <v>153</v>
      </c>
      <c r="F6" s="346" t="s">
        <v>539</v>
      </c>
      <c r="G6" s="294" t="s">
        <v>712</v>
      </c>
      <c r="H6" s="347"/>
      <c r="I6" s="294" t="s">
        <v>541</v>
      </c>
      <c r="J6" s="295" t="s">
        <v>542</v>
      </c>
      <c r="K6" s="296" t="s">
        <v>542</v>
      </c>
    </row>
    <row r="7" spans="1:11">
      <c r="A7" s="348"/>
      <c r="B7" s="207">
        <v>42370</v>
      </c>
      <c r="C7" s="169" t="s">
        <v>543</v>
      </c>
      <c r="D7" s="170" t="s">
        <v>544</v>
      </c>
      <c r="E7" s="170" t="s">
        <v>154</v>
      </c>
      <c r="F7" s="169" t="s">
        <v>545</v>
      </c>
      <c r="G7" s="207">
        <v>42735</v>
      </c>
      <c r="H7" s="349"/>
      <c r="I7" s="300" t="s">
        <v>547</v>
      </c>
      <c r="J7" s="301" t="s">
        <v>548</v>
      </c>
      <c r="K7" s="302" t="s">
        <v>549</v>
      </c>
    </row>
    <row r="8" spans="1:11">
      <c r="A8" s="350"/>
      <c r="B8" s="283"/>
      <c r="C8" s="351"/>
      <c r="D8" s="351"/>
      <c r="E8" s="351"/>
      <c r="F8" s="351"/>
      <c r="G8" s="352"/>
      <c r="H8" s="345"/>
      <c r="I8" s="353"/>
      <c r="J8" s="345"/>
      <c r="K8" s="354"/>
    </row>
    <row r="9" spans="1:11">
      <c r="A9" s="180" t="s">
        <v>868</v>
      </c>
      <c r="B9" s="181">
        <f t="shared" ref="B9:G9" si="0">SUM(B11,B15,B18,B24,B28,B32,B36,B40,B44,B50,B54,B61,B64)</f>
        <v>1065</v>
      </c>
      <c r="C9" s="181">
        <f t="shared" si="0"/>
        <v>9317</v>
      </c>
      <c r="D9" s="181">
        <f t="shared" si="0"/>
        <v>280</v>
      </c>
      <c r="E9" s="181">
        <f t="shared" si="0"/>
        <v>31</v>
      </c>
      <c r="F9" s="181">
        <f t="shared" si="0"/>
        <v>9444</v>
      </c>
      <c r="G9" s="181">
        <f t="shared" si="0"/>
        <v>1249</v>
      </c>
      <c r="H9" s="151"/>
      <c r="I9" s="310">
        <f>SUM(B9:D9)/F9</f>
        <v>1.1289707750952986</v>
      </c>
      <c r="J9" s="311">
        <f>(G9/SUM(B9:D9))*100</f>
        <v>11.714500093791033</v>
      </c>
      <c r="K9" s="312">
        <f>(F9/SUM(B9:D9))*100</f>
        <v>88.576252110298256</v>
      </c>
    </row>
    <row r="10" spans="1:11">
      <c r="A10" s="355"/>
      <c r="B10" s="181"/>
      <c r="C10" s="181"/>
      <c r="D10" s="181"/>
      <c r="E10" s="181"/>
      <c r="F10" s="181"/>
      <c r="G10" s="181"/>
      <c r="H10" s="151"/>
      <c r="I10" s="316"/>
      <c r="J10" s="317"/>
      <c r="K10" s="318"/>
    </row>
    <row r="11" spans="1:11">
      <c r="A11" s="190" t="s">
        <v>726</v>
      </c>
      <c r="B11" s="181">
        <f t="shared" ref="B11:G11" si="1">SUM(B12:B13)</f>
        <v>218</v>
      </c>
      <c r="C11" s="181">
        <f t="shared" si="1"/>
        <v>3289</v>
      </c>
      <c r="D11" s="181">
        <f t="shared" si="1"/>
        <v>66</v>
      </c>
      <c r="E11" s="181">
        <f t="shared" si="1"/>
        <v>1</v>
      </c>
      <c r="F11" s="181">
        <f t="shared" si="1"/>
        <v>3212</v>
      </c>
      <c r="G11" s="181">
        <f t="shared" si="1"/>
        <v>362</v>
      </c>
      <c r="H11" s="151"/>
      <c r="I11" s="310">
        <f>SUM(B11:D11)/F11</f>
        <v>1.1123910336239102</v>
      </c>
      <c r="J11" s="311">
        <f>(G11/SUM(B11:D11))*100</f>
        <v>10.131542121466556</v>
      </c>
      <c r="K11" s="312">
        <f>(F11/SUM(B11:D11))*100</f>
        <v>89.896445563951872</v>
      </c>
    </row>
    <row r="12" spans="1:11">
      <c r="A12" s="194" t="s">
        <v>61</v>
      </c>
      <c r="B12" s="192">
        <v>212</v>
      </c>
      <c r="C12" s="192">
        <v>3232</v>
      </c>
      <c r="D12" s="192">
        <v>59</v>
      </c>
      <c r="E12" s="192">
        <v>1</v>
      </c>
      <c r="F12" s="192">
        <v>3150</v>
      </c>
      <c r="G12" s="192">
        <v>354</v>
      </c>
      <c r="H12" s="192"/>
      <c r="I12" s="192">
        <f>SUM(B12:D12)/F12</f>
        <v>1.112063492063492</v>
      </c>
      <c r="J12" s="192">
        <f>(G12/SUM(B12:D12))*100</f>
        <v>10.10562375107051</v>
      </c>
      <c r="K12" s="214">
        <f>(F12/SUM(B12:D12))*100</f>
        <v>89.92292320867827</v>
      </c>
    </row>
    <row r="13" spans="1:11">
      <c r="A13" s="194" t="s">
        <v>62</v>
      </c>
      <c r="B13" s="192">
        <v>6</v>
      </c>
      <c r="C13" s="192">
        <v>57</v>
      </c>
      <c r="D13" s="192">
        <v>7</v>
      </c>
      <c r="E13" s="192">
        <v>0</v>
      </c>
      <c r="F13" s="192">
        <v>62</v>
      </c>
      <c r="G13" s="192">
        <v>8</v>
      </c>
      <c r="H13" s="192"/>
      <c r="I13" s="192">
        <f>SUM(B13:D13)/F13</f>
        <v>1.1290322580645162</v>
      </c>
      <c r="J13" s="192">
        <f>(G13/SUM(B13:D13))*100</f>
        <v>11.428571428571429</v>
      </c>
      <c r="K13" s="214">
        <f>(F13/SUM(B13:D13))*100</f>
        <v>88.571428571428569</v>
      </c>
    </row>
    <row r="14" spans="1:11">
      <c r="A14" s="194"/>
      <c r="B14" s="181"/>
      <c r="C14" s="181"/>
      <c r="D14" s="181"/>
      <c r="E14" s="181"/>
      <c r="F14" s="181"/>
      <c r="G14" s="181"/>
      <c r="H14" s="181"/>
      <c r="I14" s="181"/>
      <c r="J14" s="181"/>
      <c r="K14" s="233"/>
    </row>
    <row r="15" spans="1:11">
      <c r="A15" s="190" t="s">
        <v>739</v>
      </c>
      <c r="B15" s="181">
        <f t="shared" ref="B15:G15" si="2">SUM(B16)</f>
        <v>69</v>
      </c>
      <c r="C15" s="181">
        <f t="shared" si="2"/>
        <v>599</v>
      </c>
      <c r="D15" s="181">
        <f t="shared" si="2"/>
        <v>35</v>
      </c>
      <c r="E15" s="181">
        <f t="shared" si="2"/>
        <v>0</v>
      </c>
      <c r="F15" s="181">
        <f t="shared" si="2"/>
        <v>599</v>
      </c>
      <c r="G15" s="181">
        <f t="shared" si="2"/>
        <v>104</v>
      </c>
      <c r="H15" s="181"/>
      <c r="I15" s="181">
        <f>SUM(B15:D15)/F15</f>
        <v>1.1736227045075125</v>
      </c>
      <c r="J15" s="181">
        <f>(G15/SUM(B15:D15))*100</f>
        <v>14.793741109530584</v>
      </c>
      <c r="K15" s="233">
        <f>(F15/SUM(B15:D15))*100</f>
        <v>85.206258890469428</v>
      </c>
    </row>
    <row r="16" spans="1:11">
      <c r="A16" s="194" t="s">
        <v>63</v>
      </c>
      <c r="B16" s="192">
        <v>69</v>
      </c>
      <c r="C16" s="192">
        <v>599</v>
      </c>
      <c r="D16" s="192">
        <v>35</v>
      </c>
      <c r="E16" s="192">
        <v>0</v>
      </c>
      <c r="F16" s="192">
        <v>599</v>
      </c>
      <c r="G16" s="192">
        <v>104</v>
      </c>
      <c r="H16" s="192"/>
      <c r="I16" s="192">
        <f>SUM(B16:D16)/F16</f>
        <v>1.1736227045075125</v>
      </c>
      <c r="J16" s="192">
        <f>(G16/SUM(B16:D16))*100</f>
        <v>14.793741109530584</v>
      </c>
      <c r="K16" s="214">
        <f>(F16/SUM(B16:D16))*100</f>
        <v>85.206258890469428</v>
      </c>
    </row>
    <row r="17" spans="1:11">
      <c r="A17" s="356"/>
      <c r="B17" s="181"/>
      <c r="C17" s="181"/>
      <c r="D17" s="181"/>
      <c r="E17" s="181"/>
      <c r="F17" s="181"/>
      <c r="G17" s="181"/>
      <c r="H17" s="181"/>
      <c r="I17" s="181"/>
      <c r="J17" s="181"/>
      <c r="K17" s="233"/>
    </row>
    <row r="18" spans="1:11">
      <c r="A18" s="190" t="s">
        <v>743</v>
      </c>
      <c r="B18" s="181">
        <f>SUM(B19:B22)</f>
        <v>123</v>
      </c>
      <c r="C18" s="181">
        <f t="shared" ref="C18:G18" si="3">SUM(C19:C22)</f>
        <v>496</v>
      </c>
      <c r="D18" s="181">
        <f t="shared" si="3"/>
        <v>9</v>
      </c>
      <c r="E18" s="181">
        <f t="shared" si="3"/>
        <v>1</v>
      </c>
      <c r="F18" s="181">
        <f t="shared" si="3"/>
        <v>551</v>
      </c>
      <c r="G18" s="181">
        <f t="shared" si="3"/>
        <v>78</v>
      </c>
      <c r="H18" s="181"/>
      <c r="I18" s="181">
        <f>SUM(B18:D18)/F18</f>
        <v>1.1397459165154264</v>
      </c>
      <c r="J18" s="181">
        <f>(G18/SUM(B18:D18))*100</f>
        <v>12.420382165605096</v>
      </c>
      <c r="K18" s="233">
        <f>(F18/SUM(B18:D18))*100</f>
        <v>87.738853503184714</v>
      </c>
    </row>
    <row r="19" spans="1:11">
      <c r="A19" s="357" t="s">
        <v>64</v>
      </c>
      <c r="B19" s="192">
        <v>122</v>
      </c>
      <c r="C19" s="192">
        <v>452</v>
      </c>
      <c r="D19" s="192">
        <v>9</v>
      </c>
      <c r="E19" s="192">
        <v>0</v>
      </c>
      <c r="F19" s="192">
        <v>509</v>
      </c>
      <c r="G19" s="192">
        <v>74</v>
      </c>
      <c r="H19" s="192"/>
      <c r="I19" s="192">
        <f>SUM(B19:D19)/F19</f>
        <v>1.1453831041257367</v>
      </c>
      <c r="J19" s="192">
        <f>(G19/SUM(B19:D19))*100</f>
        <v>12.69296740994854</v>
      </c>
      <c r="K19" s="214">
        <f>(F19/SUM(B19:D19))*100</f>
        <v>87.307032590051463</v>
      </c>
    </row>
    <row r="20" spans="1:11">
      <c r="A20" s="357" t="s">
        <v>441</v>
      </c>
      <c r="B20" s="192">
        <v>1</v>
      </c>
      <c r="C20" s="192">
        <v>31</v>
      </c>
      <c r="D20" s="192">
        <v>0</v>
      </c>
      <c r="E20" s="192">
        <v>0</v>
      </c>
      <c r="F20" s="192">
        <v>31</v>
      </c>
      <c r="G20" s="192">
        <v>1</v>
      </c>
      <c r="H20" s="192"/>
      <c r="I20" s="192">
        <f t="shared" ref="I20:I22" si="4">SUM(B20:D20)/F20</f>
        <v>1.032258064516129</v>
      </c>
      <c r="J20" s="192">
        <f t="shared" ref="J20:J22" si="5">(G20/SUM(B20:D20))*100</f>
        <v>3.125</v>
      </c>
      <c r="K20" s="214">
        <f t="shared" ref="K20:K22" si="6">(F20/SUM(B20:D20))*100</f>
        <v>96.875</v>
      </c>
    </row>
    <row r="21" spans="1:11">
      <c r="A21" s="357" t="s">
        <v>747</v>
      </c>
      <c r="B21" s="192">
        <v>0</v>
      </c>
      <c r="C21" s="192">
        <v>8</v>
      </c>
      <c r="D21" s="192">
        <v>0</v>
      </c>
      <c r="E21" s="192">
        <v>1</v>
      </c>
      <c r="F21" s="192">
        <v>8</v>
      </c>
      <c r="G21" s="192">
        <v>1</v>
      </c>
      <c r="H21" s="192"/>
      <c r="I21" s="192">
        <f t="shared" si="4"/>
        <v>1</v>
      </c>
      <c r="J21" s="192">
        <f t="shared" si="5"/>
        <v>12.5</v>
      </c>
      <c r="K21" s="214">
        <f t="shared" si="6"/>
        <v>100</v>
      </c>
    </row>
    <row r="22" spans="1:11">
      <c r="A22" s="357" t="s">
        <v>746</v>
      </c>
      <c r="B22" s="192">
        <v>0</v>
      </c>
      <c r="C22" s="192">
        <v>5</v>
      </c>
      <c r="D22" s="192">
        <v>0</v>
      </c>
      <c r="E22" s="192">
        <v>0</v>
      </c>
      <c r="F22" s="192">
        <v>3</v>
      </c>
      <c r="G22" s="192">
        <v>2</v>
      </c>
      <c r="H22" s="192"/>
      <c r="I22" s="192">
        <f t="shared" si="4"/>
        <v>1.6666666666666667</v>
      </c>
      <c r="J22" s="192">
        <f t="shared" si="5"/>
        <v>40</v>
      </c>
      <c r="K22" s="214">
        <f t="shared" si="6"/>
        <v>60</v>
      </c>
    </row>
    <row r="23" spans="1:11">
      <c r="A23" s="357"/>
      <c r="B23" s="181"/>
      <c r="C23" s="181"/>
      <c r="D23" s="181"/>
      <c r="E23" s="181"/>
      <c r="F23" s="181"/>
      <c r="G23" s="181"/>
      <c r="H23" s="181"/>
      <c r="I23" s="181"/>
      <c r="J23" s="181"/>
      <c r="K23" s="233"/>
    </row>
    <row r="24" spans="1:11">
      <c r="A24" s="190" t="s">
        <v>749</v>
      </c>
      <c r="B24" s="181">
        <f t="shared" ref="B24:G24" si="7">SUM(B25:B26)</f>
        <v>38</v>
      </c>
      <c r="C24" s="181">
        <f t="shared" si="7"/>
        <v>333</v>
      </c>
      <c r="D24" s="181">
        <f t="shared" si="7"/>
        <v>10</v>
      </c>
      <c r="E24" s="181">
        <f t="shared" si="7"/>
        <v>1</v>
      </c>
      <c r="F24" s="181">
        <f t="shared" si="7"/>
        <v>344</v>
      </c>
      <c r="G24" s="181">
        <f t="shared" si="7"/>
        <v>38</v>
      </c>
      <c r="H24" s="181"/>
      <c r="I24" s="181">
        <f>SUM(B24:D24)/F24</f>
        <v>1.1075581395348837</v>
      </c>
      <c r="J24" s="181">
        <f>(G24/SUM(B24:D24))*100</f>
        <v>9.9737532808398957</v>
      </c>
      <c r="K24" s="233">
        <f>(F24/SUM(B24:D24))*100</f>
        <v>90.28871391076116</v>
      </c>
    </row>
    <row r="25" spans="1:11">
      <c r="A25" s="194" t="s">
        <v>65</v>
      </c>
      <c r="B25" s="192">
        <v>17</v>
      </c>
      <c r="C25" s="192">
        <v>157</v>
      </c>
      <c r="D25" s="192">
        <v>7</v>
      </c>
      <c r="E25" s="192">
        <v>1</v>
      </c>
      <c r="F25" s="192">
        <v>162</v>
      </c>
      <c r="G25" s="192">
        <v>20</v>
      </c>
      <c r="H25" s="192"/>
      <c r="I25" s="192">
        <f>SUM(B25:D25)/F25</f>
        <v>1.117283950617284</v>
      </c>
      <c r="J25" s="192">
        <f>(G25/SUM(B25:D25))*100</f>
        <v>11.049723756906078</v>
      </c>
      <c r="K25" s="214">
        <f>(F25/SUM(B25:D25))*100</f>
        <v>89.502762430939228</v>
      </c>
    </row>
    <row r="26" spans="1:11">
      <c r="A26" s="194" t="s">
        <v>752</v>
      </c>
      <c r="B26" s="192">
        <v>21</v>
      </c>
      <c r="C26" s="192">
        <v>176</v>
      </c>
      <c r="D26" s="192">
        <v>3</v>
      </c>
      <c r="E26" s="192">
        <v>0</v>
      </c>
      <c r="F26" s="192">
        <v>182</v>
      </c>
      <c r="G26" s="192">
        <v>18</v>
      </c>
      <c r="H26" s="192"/>
      <c r="I26" s="192">
        <f>SUM(B26:D26)/F26</f>
        <v>1.098901098901099</v>
      </c>
      <c r="J26" s="192">
        <f>(G26/SUM(B26:D26))*100</f>
        <v>9</v>
      </c>
      <c r="K26" s="214">
        <f>(F26/SUM(B26:D26))*100</f>
        <v>91</v>
      </c>
    </row>
    <row r="27" spans="1:11">
      <c r="A27" s="194"/>
      <c r="B27" s="181"/>
      <c r="C27" s="181"/>
      <c r="D27" s="181"/>
      <c r="E27" s="181"/>
      <c r="F27" s="181"/>
      <c r="G27" s="181"/>
      <c r="H27" s="181"/>
      <c r="I27" s="181"/>
      <c r="J27" s="181"/>
      <c r="K27" s="233"/>
    </row>
    <row r="28" spans="1:11">
      <c r="A28" s="190" t="s">
        <v>303</v>
      </c>
      <c r="B28" s="181">
        <f t="shared" ref="B28:G28" si="8">SUM(B29:B30)</f>
        <v>148</v>
      </c>
      <c r="C28" s="181">
        <f t="shared" si="8"/>
        <v>900</v>
      </c>
      <c r="D28" s="181">
        <f t="shared" si="8"/>
        <v>65</v>
      </c>
      <c r="E28" s="181">
        <f t="shared" si="8"/>
        <v>3</v>
      </c>
      <c r="F28" s="181">
        <f t="shared" si="8"/>
        <v>984</v>
      </c>
      <c r="G28" s="181">
        <f t="shared" si="8"/>
        <v>132</v>
      </c>
      <c r="H28" s="181"/>
      <c r="I28" s="181">
        <f>SUM(B28:D28)/F28</f>
        <v>1.1310975609756098</v>
      </c>
      <c r="J28" s="181">
        <f>(G28/SUM(B28:D28))*100</f>
        <v>11.859838274932615</v>
      </c>
      <c r="K28" s="233">
        <f>(F28/SUM(B28:D28))*100</f>
        <v>88.409703504043122</v>
      </c>
    </row>
    <row r="29" spans="1:11">
      <c r="A29" s="194" t="s">
        <v>245</v>
      </c>
      <c r="B29" s="192">
        <v>124</v>
      </c>
      <c r="C29" s="192">
        <v>724</v>
      </c>
      <c r="D29" s="192">
        <v>45</v>
      </c>
      <c r="E29" s="192">
        <v>3</v>
      </c>
      <c r="F29" s="192">
        <v>784</v>
      </c>
      <c r="G29" s="192">
        <v>112</v>
      </c>
      <c r="H29" s="192"/>
      <c r="I29" s="192">
        <f>SUM(B29:D29)/F29</f>
        <v>1.1390306122448979</v>
      </c>
      <c r="J29" s="192">
        <f>(G29/SUM(B29:D29))*100</f>
        <v>12.541993281075028</v>
      </c>
      <c r="K29" s="214">
        <f>(F29/SUM(B29:D29))*100</f>
        <v>87.793952967525186</v>
      </c>
    </row>
    <row r="30" spans="1:11">
      <c r="A30" s="194" t="s">
        <v>757</v>
      </c>
      <c r="B30" s="192">
        <v>24</v>
      </c>
      <c r="C30" s="192">
        <v>176</v>
      </c>
      <c r="D30" s="192">
        <v>20</v>
      </c>
      <c r="E30" s="192">
        <v>0</v>
      </c>
      <c r="F30" s="192">
        <v>200</v>
      </c>
      <c r="G30" s="192">
        <v>20</v>
      </c>
      <c r="H30" s="192"/>
      <c r="I30" s="192">
        <f>SUM(B30:D30)/F30</f>
        <v>1.1000000000000001</v>
      </c>
      <c r="J30" s="192">
        <f>(G30/SUM(B30:D30))*100</f>
        <v>9.0909090909090917</v>
      </c>
      <c r="K30" s="214">
        <f>(F30/SUM(B30:D30))*100</f>
        <v>90.909090909090907</v>
      </c>
    </row>
    <row r="31" spans="1:11">
      <c r="A31" s="194"/>
      <c r="B31" s="181"/>
      <c r="C31" s="181"/>
      <c r="D31" s="181"/>
      <c r="E31" s="181"/>
      <c r="F31" s="181"/>
      <c r="G31" s="181"/>
      <c r="H31" s="181"/>
      <c r="I31" s="181"/>
      <c r="J31" s="181"/>
      <c r="K31" s="233"/>
    </row>
    <row r="32" spans="1:11">
      <c r="A32" s="190" t="s">
        <v>812</v>
      </c>
      <c r="B32" s="181">
        <f>SUM(B33:B34)</f>
        <v>123</v>
      </c>
      <c r="C32" s="181">
        <f t="shared" ref="C32:G32" si="9">SUM(C33:C34)</f>
        <v>711</v>
      </c>
      <c r="D32" s="181">
        <f t="shared" si="9"/>
        <v>15</v>
      </c>
      <c r="E32" s="181">
        <f t="shared" si="9"/>
        <v>2</v>
      </c>
      <c r="F32" s="181">
        <f t="shared" si="9"/>
        <v>726</v>
      </c>
      <c r="G32" s="181">
        <f t="shared" si="9"/>
        <v>125</v>
      </c>
      <c r="H32" s="181"/>
      <c r="I32" s="181">
        <f>SUM(B32:D32)/F32</f>
        <v>1.1694214876033058</v>
      </c>
      <c r="J32" s="181">
        <f>(G32/SUM(B32:D32))*100</f>
        <v>14.723203769140165</v>
      </c>
      <c r="K32" s="233">
        <f>(F32/SUM(B32:D32))*100</f>
        <v>85.512367491166074</v>
      </c>
    </row>
    <row r="33" spans="1:11">
      <c r="A33" s="194" t="s">
        <v>699</v>
      </c>
      <c r="B33" s="192">
        <v>88</v>
      </c>
      <c r="C33" s="192">
        <v>538</v>
      </c>
      <c r="D33" s="192">
        <v>10</v>
      </c>
      <c r="E33" s="192">
        <v>0</v>
      </c>
      <c r="F33" s="192">
        <v>570</v>
      </c>
      <c r="G33" s="192">
        <v>66</v>
      </c>
      <c r="H33" s="192"/>
      <c r="I33" s="192">
        <f>SUM(B33:D33)/F33</f>
        <v>1.1157894736842104</v>
      </c>
      <c r="J33" s="192">
        <f>(G33/SUM(B33:D33))*100</f>
        <v>10.377358490566039</v>
      </c>
      <c r="K33" s="214">
        <f>(F33/SUM(B33:D33))*100</f>
        <v>89.622641509433961</v>
      </c>
    </row>
    <row r="34" spans="1:11">
      <c r="A34" s="194" t="s">
        <v>1045</v>
      </c>
      <c r="B34" s="192">
        <v>35</v>
      </c>
      <c r="C34" s="192">
        <v>173</v>
      </c>
      <c r="D34" s="192">
        <v>5</v>
      </c>
      <c r="E34" s="192">
        <v>2</v>
      </c>
      <c r="F34" s="192">
        <v>156</v>
      </c>
      <c r="G34" s="192">
        <v>59</v>
      </c>
      <c r="H34" s="192"/>
      <c r="I34" s="192">
        <f>SUM(B34:D34)/F34</f>
        <v>1.3653846153846154</v>
      </c>
      <c r="J34" s="192">
        <f>(G34/SUM(B34:D34))*100</f>
        <v>27.699530516431924</v>
      </c>
      <c r="K34" s="214">
        <f>(F34/SUM(B34:D34))*100</f>
        <v>73.239436619718319</v>
      </c>
    </row>
    <row r="35" spans="1:11">
      <c r="A35" s="194"/>
      <c r="B35" s="181"/>
      <c r="C35" s="181"/>
      <c r="D35" s="181"/>
      <c r="E35" s="181"/>
      <c r="F35" s="181"/>
      <c r="G35" s="181"/>
      <c r="H35" s="181"/>
      <c r="I35" s="181"/>
      <c r="J35" s="181"/>
      <c r="K35" s="233"/>
    </row>
    <row r="36" spans="1:11">
      <c r="A36" s="190" t="s">
        <v>764</v>
      </c>
      <c r="B36" s="181">
        <f t="shared" ref="B36:G36" si="10">SUM(B37:B38)</f>
        <v>89</v>
      </c>
      <c r="C36" s="181">
        <f t="shared" si="10"/>
        <v>465</v>
      </c>
      <c r="D36" s="181">
        <f t="shared" si="10"/>
        <v>3</v>
      </c>
      <c r="E36" s="181">
        <f t="shared" si="10"/>
        <v>4</v>
      </c>
      <c r="F36" s="181">
        <f t="shared" si="10"/>
        <v>497</v>
      </c>
      <c r="G36" s="181">
        <f t="shared" si="10"/>
        <v>64</v>
      </c>
      <c r="H36" s="181"/>
      <c r="I36" s="181">
        <f>SUM(B36:D36)/F36</f>
        <v>1.1207243460764587</v>
      </c>
      <c r="J36" s="181">
        <f>(G36/SUM(B36:D36))*100</f>
        <v>11.490125673249551</v>
      </c>
      <c r="K36" s="233">
        <f>(F36/SUM(B36:D36))*100</f>
        <v>89.22800718132855</v>
      </c>
    </row>
    <row r="37" spans="1:11">
      <c r="A37" s="194" t="s">
        <v>66</v>
      </c>
      <c r="B37" s="192">
        <v>43</v>
      </c>
      <c r="C37" s="192">
        <v>304</v>
      </c>
      <c r="D37" s="192">
        <v>2</v>
      </c>
      <c r="E37" s="192">
        <v>4</v>
      </c>
      <c r="F37" s="192">
        <v>306</v>
      </c>
      <c r="G37" s="192">
        <v>47</v>
      </c>
      <c r="H37" s="192"/>
      <c r="I37" s="192">
        <f>SUM(B37:D37)/F37</f>
        <v>1.1405228758169934</v>
      </c>
      <c r="J37" s="192">
        <f>(G37/SUM(B37:D37))*100</f>
        <v>13.46704871060172</v>
      </c>
      <c r="K37" s="214">
        <f>(F37/SUM(B37:D37))*100</f>
        <v>87.679083094555878</v>
      </c>
    </row>
    <row r="38" spans="1:11">
      <c r="A38" s="194" t="s">
        <v>767</v>
      </c>
      <c r="B38" s="192">
        <v>46</v>
      </c>
      <c r="C38" s="192">
        <v>161</v>
      </c>
      <c r="D38" s="192">
        <v>1</v>
      </c>
      <c r="E38" s="192">
        <v>0</v>
      </c>
      <c r="F38" s="192">
        <v>191</v>
      </c>
      <c r="G38" s="192">
        <v>17</v>
      </c>
      <c r="H38" s="192"/>
      <c r="I38" s="192">
        <f>SUM(B38:D38)/F38</f>
        <v>1.0890052356020943</v>
      </c>
      <c r="J38" s="192">
        <f>(G38/SUM(B38:D38))*100</f>
        <v>8.1730769230769234</v>
      </c>
      <c r="K38" s="214">
        <f>(F38/SUM(B38:D38))*100</f>
        <v>91.826923076923066</v>
      </c>
    </row>
    <row r="39" spans="1:11">
      <c r="A39" s="194"/>
      <c r="B39" s="181"/>
      <c r="C39" s="181"/>
      <c r="D39" s="181"/>
      <c r="E39" s="181"/>
      <c r="F39" s="181"/>
      <c r="G39" s="181"/>
      <c r="H39" s="181"/>
      <c r="I39" s="181"/>
      <c r="J39" s="181"/>
      <c r="K39" s="233"/>
    </row>
    <row r="40" spans="1:11">
      <c r="A40" s="190" t="s">
        <v>872</v>
      </c>
      <c r="B40" s="181">
        <f t="shared" ref="B40:G40" si="11">SUM(B41:B42)</f>
        <v>7</v>
      </c>
      <c r="C40" s="181">
        <f t="shared" si="11"/>
        <v>312</v>
      </c>
      <c r="D40" s="181">
        <f t="shared" si="11"/>
        <v>8</v>
      </c>
      <c r="E40" s="181">
        <f t="shared" si="11"/>
        <v>0</v>
      </c>
      <c r="F40" s="181">
        <f t="shared" si="11"/>
        <v>311</v>
      </c>
      <c r="G40" s="181">
        <f t="shared" si="11"/>
        <v>16</v>
      </c>
      <c r="H40" s="181"/>
      <c r="I40" s="181">
        <f>SUM(B40:D40)/F40</f>
        <v>1.0514469453376205</v>
      </c>
      <c r="J40" s="181">
        <f>(G40/SUM(B40:D40))*100</f>
        <v>4.8929663608562688</v>
      </c>
      <c r="K40" s="233">
        <f>(F40/SUM(B40:D40))*100</f>
        <v>95.107033639143737</v>
      </c>
    </row>
    <row r="41" spans="1:11">
      <c r="A41" s="357" t="s">
        <v>530</v>
      </c>
      <c r="B41" s="192">
        <v>1</v>
      </c>
      <c r="C41" s="192">
        <v>138</v>
      </c>
      <c r="D41" s="192">
        <v>8</v>
      </c>
      <c r="E41" s="192">
        <v>0</v>
      </c>
      <c r="F41" s="192">
        <v>139</v>
      </c>
      <c r="G41" s="192">
        <v>8</v>
      </c>
      <c r="H41" s="192"/>
      <c r="I41" s="192">
        <f>SUM(B41:D41)/F41</f>
        <v>1.0575539568345325</v>
      </c>
      <c r="J41" s="192">
        <f>(G41/SUM(B41:D41))*100</f>
        <v>5.4421768707482991</v>
      </c>
      <c r="K41" s="214">
        <f>(F41/SUM(B41:D41))*100</f>
        <v>94.557823129251702</v>
      </c>
    </row>
    <row r="42" spans="1:11">
      <c r="A42" s="194" t="s">
        <v>67</v>
      </c>
      <c r="B42" s="192">
        <v>6</v>
      </c>
      <c r="C42" s="192">
        <v>174</v>
      </c>
      <c r="D42" s="192">
        <v>0</v>
      </c>
      <c r="E42" s="192">
        <v>0</v>
      </c>
      <c r="F42" s="192">
        <v>172</v>
      </c>
      <c r="G42" s="192">
        <v>8</v>
      </c>
      <c r="H42" s="192"/>
      <c r="I42" s="192">
        <f>SUM(B42:D42)/F42</f>
        <v>1.0465116279069768</v>
      </c>
      <c r="J42" s="192">
        <f>(G42/SUM(B42:D42))*100</f>
        <v>4.4444444444444446</v>
      </c>
      <c r="K42" s="214">
        <f>(F42/SUM(B42:D42))*100</f>
        <v>95.555555555555557</v>
      </c>
    </row>
    <row r="43" spans="1:11">
      <c r="A43" s="194"/>
      <c r="B43" s="181"/>
      <c r="C43" s="181"/>
      <c r="D43" s="181"/>
      <c r="E43" s="181"/>
      <c r="F43" s="181"/>
      <c r="G43" s="181"/>
      <c r="H43" s="181"/>
      <c r="I43" s="181"/>
      <c r="J43" s="181"/>
      <c r="K43" s="233"/>
    </row>
    <row r="44" spans="1:11">
      <c r="A44" s="190" t="s">
        <v>836</v>
      </c>
      <c r="B44" s="181">
        <f>SUM(B45:B48)</f>
        <v>109</v>
      </c>
      <c r="C44" s="181">
        <f t="shared" ref="C44:F44" si="12">SUM(C45:C48)</f>
        <v>459</v>
      </c>
      <c r="D44" s="181">
        <f t="shared" si="12"/>
        <v>30</v>
      </c>
      <c r="E44" s="181">
        <f t="shared" si="12"/>
        <v>3</v>
      </c>
      <c r="F44" s="181">
        <f t="shared" si="12"/>
        <v>479</v>
      </c>
      <c r="G44" s="181">
        <f>SUM(G45:G48)</f>
        <v>122</v>
      </c>
      <c r="H44" s="181"/>
      <c r="I44" s="181">
        <f>SUM(B44:D44)/F44</f>
        <v>1.2484342379958246</v>
      </c>
      <c r="J44" s="181">
        <f>(G44/SUM(B44:D44))*100</f>
        <v>20.401337792642142</v>
      </c>
      <c r="K44" s="233">
        <f>(F44/SUM(B44:D44))*100</f>
        <v>80.100334448160538</v>
      </c>
    </row>
    <row r="45" spans="1:11">
      <c r="A45" s="194" t="s">
        <v>249</v>
      </c>
      <c r="B45" s="192">
        <v>95</v>
      </c>
      <c r="C45" s="192">
        <v>343</v>
      </c>
      <c r="D45" s="192">
        <v>26</v>
      </c>
      <c r="E45" s="192">
        <v>0</v>
      </c>
      <c r="F45" s="192">
        <v>369</v>
      </c>
      <c r="G45" s="192">
        <v>95</v>
      </c>
      <c r="H45" s="192"/>
      <c r="I45" s="192">
        <f>SUM(B45:D45)/F45</f>
        <v>1.2574525745257452</v>
      </c>
      <c r="J45" s="192">
        <f>(G45/SUM(B45:D45))*100</f>
        <v>20.474137931034484</v>
      </c>
      <c r="K45" s="214">
        <f>(F45/SUM(B45:D45))*100</f>
        <v>79.525862068965509</v>
      </c>
    </row>
    <row r="46" spans="1:11">
      <c r="A46" s="357" t="s">
        <v>198</v>
      </c>
      <c r="B46" s="192">
        <v>9</v>
      </c>
      <c r="C46" s="192">
        <v>96</v>
      </c>
      <c r="D46" s="192">
        <v>4</v>
      </c>
      <c r="E46" s="192">
        <v>0</v>
      </c>
      <c r="F46" s="192">
        <v>102</v>
      </c>
      <c r="G46" s="192">
        <v>7</v>
      </c>
      <c r="H46" s="192"/>
      <c r="I46" s="192">
        <f>SUM(B46:D46)/F46</f>
        <v>1.0686274509803921</v>
      </c>
      <c r="J46" s="192">
        <f>(G46/SUM(B46:D46))*100</f>
        <v>6.4220183486238538</v>
      </c>
      <c r="K46" s="214">
        <f>(F46/SUM(B46:D46))*100</f>
        <v>93.577981651376149</v>
      </c>
    </row>
    <row r="47" spans="1:11">
      <c r="A47" s="357" t="s">
        <v>1046</v>
      </c>
      <c r="B47" s="192">
        <v>0</v>
      </c>
      <c r="C47" s="192">
        <v>11</v>
      </c>
      <c r="D47" s="192">
        <v>0</v>
      </c>
      <c r="E47" s="192">
        <v>0</v>
      </c>
      <c r="F47" s="192">
        <v>0</v>
      </c>
      <c r="G47" s="192">
        <v>11</v>
      </c>
      <c r="H47" s="192"/>
      <c r="I47" s="440"/>
      <c r="J47" s="192">
        <f t="shared" ref="J47:J48" si="13">(G47/SUM(B47:D47))*100</f>
        <v>100</v>
      </c>
      <c r="K47" s="214">
        <f t="shared" ref="K47:K48" si="14">(F47/SUM(B47:D47))*100</f>
        <v>0</v>
      </c>
    </row>
    <row r="48" spans="1:11">
      <c r="A48" s="357" t="s">
        <v>197</v>
      </c>
      <c r="B48" s="192">
        <v>5</v>
      </c>
      <c r="C48" s="192">
        <v>9</v>
      </c>
      <c r="D48" s="192">
        <v>0</v>
      </c>
      <c r="E48" s="192">
        <v>3</v>
      </c>
      <c r="F48" s="192">
        <v>8</v>
      </c>
      <c r="G48" s="192">
        <v>9</v>
      </c>
      <c r="H48" s="192"/>
      <c r="I48" s="192">
        <f>SUM(B48:D48)/F48</f>
        <v>1.75</v>
      </c>
      <c r="J48" s="192">
        <f t="shared" si="13"/>
        <v>64.285714285714292</v>
      </c>
      <c r="K48" s="214">
        <f t="shared" si="14"/>
        <v>57.142857142857139</v>
      </c>
    </row>
    <row r="49" spans="1:11">
      <c r="A49" s="357"/>
      <c r="B49" s="181"/>
      <c r="C49" s="181"/>
      <c r="D49" s="181"/>
      <c r="E49" s="181"/>
      <c r="F49" s="181"/>
      <c r="G49" s="181"/>
      <c r="H49" s="181"/>
      <c r="I49" s="181"/>
      <c r="J49" s="181"/>
      <c r="K49" s="233"/>
    </row>
    <row r="50" spans="1:11">
      <c r="A50" s="190" t="s">
        <v>873</v>
      </c>
      <c r="B50" s="181">
        <f>SUM(B51:B52)</f>
        <v>32</v>
      </c>
      <c r="C50" s="181">
        <f t="shared" ref="C50:G50" si="15">SUM(C51:C52)</f>
        <v>365</v>
      </c>
      <c r="D50" s="181">
        <f t="shared" si="15"/>
        <v>4</v>
      </c>
      <c r="E50" s="181">
        <f t="shared" si="15"/>
        <v>3</v>
      </c>
      <c r="F50" s="181">
        <f t="shared" si="15"/>
        <v>358</v>
      </c>
      <c r="G50" s="181">
        <f t="shared" si="15"/>
        <v>46</v>
      </c>
      <c r="H50" s="181"/>
      <c r="I50" s="181">
        <f>SUM(B50:D50)/F50</f>
        <v>1.1201117318435754</v>
      </c>
      <c r="J50" s="181">
        <f>(G50/SUM(B50:D50))*100</f>
        <v>11.471321695760599</v>
      </c>
      <c r="K50" s="233">
        <f>(F50/SUM(B50:D50))*100</f>
        <v>89.276807980049881</v>
      </c>
    </row>
    <row r="51" spans="1:11">
      <c r="A51" s="357" t="s">
        <v>68</v>
      </c>
      <c r="B51" s="192">
        <v>32</v>
      </c>
      <c r="C51" s="192">
        <v>344</v>
      </c>
      <c r="D51" s="192">
        <v>4</v>
      </c>
      <c r="E51" s="192">
        <v>0</v>
      </c>
      <c r="F51" s="192">
        <v>343</v>
      </c>
      <c r="G51" s="192">
        <v>37</v>
      </c>
      <c r="H51" s="192"/>
      <c r="I51" s="192">
        <f>SUM(B51:D51)/F51</f>
        <v>1.1078717201166182</v>
      </c>
      <c r="J51" s="192">
        <f>(G51/SUM(B51:D51))*100</f>
        <v>9.7368421052631575</v>
      </c>
      <c r="K51" s="214">
        <f>(F51/SUM(B51:D51))*100</f>
        <v>90.26315789473685</v>
      </c>
    </row>
    <row r="52" spans="1:11">
      <c r="A52" s="357" t="s">
        <v>202</v>
      </c>
      <c r="B52" s="192">
        <v>0</v>
      </c>
      <c r="C52" s="192">
        <v>21</v>
      </c>
      <c r="D52" s="192">
        <v>0</v>
      </c>
      <c r="E52" s="192">
        <v>3</v>
      </c>
      <c r="F52" s="192">
        <v>15</v>
      </c>
      <c r="G52" s="192">
        <v>9</v>
      </c>
      <c r="H52" s="192"/>
      <c r="I52" s="192"/>
      <c r="J52" s="192"/>
      <c r="K52" s="214"/>
    </row>
    <row r="53" spans="1:11">
      <c r="A53" s="357"/>
      <c r="B53" s="181"/>
      <c r="C53" s="181"/>
      <c r="D53" s="181"/>
      <c r="E53" s="181"/>
      <c r="F53" s="181"/>
      <c r="G53" s="181"/>
      <c r="H53" s="181"/>
      <c r="I53" s="181"/>
      <c r="J53" s="181"/>
      <c r="K53" s="233"/>
    </row>
    <row r="54" spans="1:11">
      <c r="A54" s="190" t="s">
        <v>874</v>
      </c>
      <c r="B54" s="181">
        <f>SUM(B55:B59)</f>
        <v>31</v>
      </c>
      <c r="C54" s="181">
        <f t="shared" ref="C54:G54" si="16">SUM(C55:C59)</f>
        <v>346</v>
      </c>
      <c r="D54" s="181">
        <f t="shared" si="16"/>
        <v>12</v>
      </c>
      <c r="E54" s="181">
        <f t="shared" si="16"/>
        <v>10</v>
      </c>
      <c r="F54" s="181">
        <f t="shared" si="16"/>
        <v>334</v>
      </c>
      <c r="G54" s="181">
        <f t="shared" si="16"/>
        <v>65</v>
      </c>
      <c r="H54" s="181"/>
      <c r="I54" s="181">
        <f>SUM(B54:D54)/F54</f>
        <v>1.1646706586826348</v>
      </c>
      <c r="J54" s="181">
        <f>(G54/SUM(B54:D54))*100</f>
        <v>16.709511568123396</v>
      </c>
      <c r="K54" s="233">
        <f>(F54/SUM(B54:D54))*100</f>
        <v>85.861182519280206</v>
      </c>
    </row>
    <row r="55" spans="1:11">
      <c r="A55" s="357" t="s">
        <v>69</v>
      </c>
      <c r="B55" s="192">
        <v>6</v>
      </c>
      <c r="C55" s="192">
        <v>159</v>
      </c>
      <c r="D55" s="192">
        <v>7</v>
      </c>
      <c r="E55" s="192">
        <v>1</v>
      </c>
      <c r="F55" s="192">
        <v>161</v>
      </c>
      <c r="G55" s="192">
        <v>12</v>
      </c>
      <c r="H55" s="192"/>
      <c r="I55" s="192">
        <f>SUM(B55:D55)/F55</f>
        <v>1.0683229813664596</v>
      </c>
      <c r="J55" s="192">
        <f>(G55/SUM(B55:D55))*100</f>
        <v>6.9767441860465116</v>
      </c>
      <c r="K55" s="214">
        <f>(F55/SUM(B55:D55))*100</f>
        <v>93.604651162790702</v>
      </c>
    </row>
    <row r="56" spans="1:11">
      <c r="A56" s="194" t="s">
        <v>206</v>
      </c>
      <c r="B56" s="192">
        <v>9</v>
      </c>
      <c r="C56" s="192">
        <v>82</v>
      </c>
      <c r="D56" s="192">
        <v>3</v>
      </c>
      <c r="E56" s="192">
        <v>0</v>
      </c>
      <c r="F56" s="192">
        <v>79</v>
      </c>
      <c r="G56" s="192">
        <v>15</v>
      </c>
      <c r="H56" s="192"/>
      <c r="I56" s="192">
        <f>SUM(B56:D56)/F56</f>
        <v>1.1898734177215189</v>
      </c>
      <c r="J56" s="192">
        <f>(G56/SUM(B56:D56))*100</f>
        <v>15.957446808510639</v>
      </c>
      <c r="K56" s="214">
        <f>(F56/SUM(B56:D56))*100</f>
        <v>84.042553191489361</v>
      </c>
    </row>
    <row r="57" spans="1:11">
      <c r="A57" s="194" t="s">
        <v>207</v>
      </c>
      <c r="B57" s="192">
        <v>15</v>
      </c>
      <c r="C57" s="192">
        <v>57</v>
      </c>
      <c r="D57" s="192">
        <v>2</v>
      </c>
      <c r="E57" s="192">
        <v>4</v>
      </c>
      <c r="F57" s="192">
        <v>56</v>
      </c>
      <c r="G57" s="192">
        <v>22</v>
      </c>
      <c r="H57" s="192"/>
      <c r="I57" s="192">
        <f>SUM(B57:D57)/F57</f>
        <v>1.3214285714285714</v>
      </c>
      <c r="J57" s="192">
        <f>(G57/SUM(B57:D57))*100</f>
        <v>29.72972972972973</v>
      </c>
      <c r="K57" s="214">
        <f>(F57/SUM(B57:D57))*100</f>
        <v>75.675675675675677</v>
      </c>
    </row>
    <row r="58" spans="1:11">
      <c r="A58" s="194" t="s">
        <v>1043</v>
      </c>
      <c r="B58" s="192">
        <v>0</v>
      </c>
      <c r="C58" s="192">
        <v>16</v>
      </c>
      <c r="D58" s="192">
        <v>0</v>
      </c>
      <c r="E58" s="192">
        <v>0</v>
      </c>
      <c r="F58" s="192">
        <v>12</v>
      </c>
      <c r="G58" s="192">
        <v>4</v>
      </c>
      <c r="H58" s="192"/>
      <c r="I58" s="192"/>
      <c r="J58" s="192"/>
      <c r="K58" s="214"/>
    </row>
    <row r="59" spans="1:11">
      <c r="A59" s="194" t="s">
        <v>209</v>
      </c>
      <c r="B59" s="192">
        <v>1</v>
      </c>
      <c r="C59" s="192">
        <v>32</v>
      </c>
      <c r="D59" s="192">
        <v>0</v>
      </c>
      <c r="E59" s="192">
        <v>5</v>
      </c>
      <c r="F59" s="192">
        <v>26</v>
      </c>
      <c r="G59" s="192">
        <v>12</v>
      </c>
      <c r="H59" s="192"/>
      <c r="I59" s="192"/>
      <c r="J59" s="192"/>
      <c r="K59" s="214"/>
    </row>
    <row r="60" spans="1:11">
      <c r="A60" s="194"/>
      <c r="B60" s="181"/>
      <c r="C60" s="181"/>
      <c r="D60" s="181"/>
      <c r="E60" s="181"/>
      <c r="F60" s="181"/>
      <c r="G60" s="181"/>
      <c r="H60" s="181"/>
      <c r="I60" s="181"/>
      <c r="J60" s="181"/>
      <c r="K60" s="233"/>
    </row>
    <row r="61" spans="1:11">
      <c r="A61" s="190" t="s">
        <v>70</v>
      </c>
      <c r="B61" s="181">
        <f t="shared" ref="B61:G61" si="17">SUM(B62)</f>
        <v>34</v>
      </c>
      <c r="C61" s="181">
        <f t="shared" si="17"/>
        <v>474</v>
      </c>
      <c r="D61" s="181">
        <f t="shared" si="17"/>
        <v>10</v>
      </c>
      <c r="E61" s="181">
        <f t="shared" si="17"/>
        <v>0</v>
      </c>
      <c r="F61" s="181">
        <f t="shared" si="17"/>
        <v>483</v>
      </c>
      <c r="G61" s="181">
        <f t="shared" si="17"/>
        <v>35</v>
      </c>
      <c r="H61" s="181"/>
      <c r="I61" s="181">
        <f>SUM(B61:D61)/F61</f>
        <v>1.0724637681159421</v>
      </c>
      <c r="J61" s="181">
        <f>(G61/SUM(B61:D61))*100</f>
        <v>6.756756756756757</v>
      </c>
      <c r="K61" s="233">
        <f>(F61/SUM(B61:D61))*100</f>
        <v>93.243243243243242</v>
      </c>
    </row>
    <row r="62" spans="1:11">
      <c r="A62" s="194" t="s">
        <v>71</v>
      </c>
      <c r="B62" s="192">
        <v>34</v>
      </c>
      <c r="C62" s="192">
        <v>474</v>
      </c>
      <c r="D62" s="192">
        <v>10</v>
      </c>
      <c r="E62" s="192">
        <v>0</v>
      </c>
      <c r="F62" s="192">
        <v>483</v>
      </c>
      <c r="G62" s="192">
        <v>35</v>
      </c>
      <c r="H62" s="192"/>
      <c r="I62" s="192">
        <f>SUM(B62:D62)/F62</f>
        <v>1.0724637681159421</v>
      </c>
      <c r="J62" s="192">
        <f>(G62/SUM(B62:D62))*100</f>
        <v>6.756756756756757</v>
      </c>
      <c r="K62" s="214">
        <f>(F62/SUM(B62:D62))*100</f>
        <v>93.243243243243242</v>
      </c>
    </row>
    <row r="63" spans="1:11">
      <c r="A63" s="194"/>
      <c r="B63" s="181"/>
      <c r="C63" s="181"/>
      <c r="D63" s="181"/>
      <c r="E63" s="181"/>
      <c r="F63" s="181"/>
      <c r="G63" s="181"/>
      <c r="H63" s="181"/>
      <c r="I63" s="181"/>
      <c r="J63" s="181"/>
      <c r="K63" s="233"/>
    </row>
    <row r="64" spans="1:11">
      <c r="A64" s="190" t="s">
        <v>72</v>
      </c>
      <c r="B64" s="181">
        <f>SUM(B65:B66)</f>
        <v>44</v>
      </c>
      <c r="C64" s="181">
        <f t="shared" ref="C64:G64" si="18">SUM(C65:C66)</f>
        <v>568</v>
      </c>
      <c r="D64" s="181">
        <f t="shared" si="18"/>
        <v>13</v>
      </c>
      <c r="E64" s="181">
        <f t="shared" si="18"/>
        <v>3</v>
      </c>
      <c r="F64" s="181">
        <f t="shared" si="18"/>
        <v>566</v>
      </c>
      <c r="G64" s="181">
        <f t="shared" si="18"/>
        <v>62</v>
      </c>
      <c r="H64" s="181"/>
      <c r="I64" s="181">
        <f>SUM(B64:D64)/F64</f>
        <v>1.1042402826855124</v>
      </c>
      <c r="J64" s="181">
        <f>(G64/SUM(B64:D64))*100</f>
        <v>9.92</v>
      </c>
      <c r="K64" s="233">
        <f>(F64/SUM(B64:D64))*100</f>
        <v>90.56</v>
      </c>
    </row>
    <row r="65" spans="1:11">
      <c r="A65" s="358" t="s">
        <v>73</v>
      </c>
      <c r="B65" s="192">
        <v>26</v>
      </c>
      <c r="C65" s="192">
        <v>461</v>
      </c>
      <c r="D65" s="192">
        <v>4</v>
      </c>
      <c r="E65" s="192">
        <v>2</v>
      </c>
      <c r="F65" s="192">
        <v>470</v>
      </c>
      <c r="G65" s="192">
        <v>23</v>
      </c>
      <c r="H65" s="192"/>
      <c r="I65" s="192">
        <f>SUM(B65:D65)/F65</f>
        <v>1.0446808510638297</v>
      </c>
      <c r="J65" s="192">
        <f>(G65/SUM(B65:D65))*100</f>
        <v>4.6843177189409371</v>
      </c>
      <c r="K65" s="214">
        <f>(F65/SUM(B65:D65))*100</f>
        <v>95.723014256619138</v>
      </c>
    </row>
    <row r="66" spans="1:11">
      <c r="A66" s="358" t="s">
        <v>1047</v>
      </c>
      <c r="B66" s="214">
        <v>18</v>
      </c>
      <c r="C66" s="214">
        <v>107</v>
      </c>
      <c r="D66" s="214">
        <v>9</v>
      </c>
      <c r="E66" s="214">
        <v>1</v>
      </c>
      <c r="F66" s="214">
        <v>96</v>
      </c>
      <c r="G66" s="214">
        <v>39</v>
      </c>
      <c r="H66" s="192"/>
      <c r="I66" s="214"/>
      <c r="J66" s="214"/>
      <c r="K66" s="214"/>
    </row>
    <row r="67" spans="1:11" s="342" customFormat="1">
      <c r="A67" s="359"/>
      <c r="B67" s="199"/>
      <c r="C67" s="199"/>
      <c r="D67" s="199"/>
      <c r="E67" s="199"/>
      <c r="F67" s="199"/>
      <c r="G67" s="199"/>
      <c r="H67" s="349"/>
      <c r="I67" s="360"/>
      <c r="J67" s="360"/>
      <c r="K67" s="360"/>
    </row>
    <row r="68" spans="1:11">
      <c r="A68" s="39" t="s">
        <v>1072</v>
      </c>
      <c r="B68" s="361"/>
      <c r="C68" s="361"/>
      <c r="D68" s="361"/>
      <c r="E68" s="361"/>
      <c r="F68" s="361"/>
      <c r="G68" s="156"/>
    </row>
  </sheetData>
  <sheetProtection selectLockedCells="1" selectUnlockedCells="1"/>
  <mergeCells count="3">
    <mergeCell ref="A3:K3"/>
    <mergeCell ref="B5:G5"/>
    <mergeCell ref="I5:K5"/>
  </mergeCells>
  <phoneticPr fontId="0" type="noConversion"/>
  <printOptions horizontalCentered="1" verticalCentered="1"/>
  <pageMargins left="0" right="0" top="0" bottom="0" header="0.51180555555555551" footer="0.51180555555555551"/>
  <pageSetup scale="42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00B0F0"/>
  </sheetPr>
  <dimension ref="A1:K61"/>
  <sheetViews>
    <sheetView workbookViewId="0">
      <selection activeCell="A3" sqref="A3:K3"/>
    </sheetView>
  </sheetViews>
  <sheetFormatPr baseColWidth="10" defaultColWidth="11.44140625" defaultRowHeight="21"/>
  <cols>
    <col min="1" max="1" width="85.109375" style="219" customWidth="1"/>
    <col min="2" max="7" width="19.44140625" style="219" customWidth="1"/>
    <col min="8" max="8" width="5.6640625" style="152" customWidth="1"/>
    <col min="9" max="11" width="18.6640625" style="152" customWidth="1"/>
    <col min="12" max="16384" width="11.44140625" style="219"/>
  </cols>
  <sheetData>
    <row r="1" spans="1:11" ht="20.25" customHeight="1">
      <c r="A1" s="220" t="s">
        <v>74</v>
      </c>
      <c r="B1" s="154"/>
      <c r="C1" s="154"/>
      <c r="D1" s="154"/>
      <c r="E1" s="154"/>
      <c r="F1" s="154"/>
      <c r="G1" s="154"/>
    </row>
    <row r="2" spans="1:11" ht="20.25" customHeight="1">
      <c r="A2" s="220"/>
      <c r="B2" s="247"/>
      <c r="C2" s="220"/>
      <c r="D2" s="220"/>
      <c r="E2" s="220"/>
      <c r="F2" s="220"/>
      <c r="G2" s="220"/>
    </row>
    <row r="3" spans="1:11" ht="20.25" customHeight="1">
      <c r="A3" s="463" t="s">
        <v>1074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</row>
    <row r="4" spans="1:11" ht="20.25" customHeight="1">
      <c r="A4" s="252"/>
      <c r="B4" s="362"/>
      <c r="C4" s="252"/>
      <c r="D4" s="252"/>
      <c r="E4" s="252"/>
      <c r="F4" s="252"/>
      <c r="G4" s="252"/>
      <c r="H4" s="160"/>
      <c r="I4" s="160"/>
      <c r="J4" s="160"/>
      <c r="K4" s="160"/>
    </row>
    <row r="5" spans="1:11" ht="20.25" customHeight="1">
      <c r="A5" s="363"/>
      <c r="B5" s="458" t="s">
        <v>535</v>
      </c>
      <c r="C5" s="458"/>
      <c r="D5" s="458"/>
      <c r="E5" s="458"/>
      <c r="F5" s="458"/>
      <c r="G5" s="458"/>
      <c r="H5" s="162"/>
      <c r="I5" s="459" t="s">
        <v>536</v>
      </c>
      <c r="J5" s="459"/>
      <c r="K5" s="459"/>
    </row>
    <row r="6" spans="1:11" ht="20.25" customHeight="1">
      <c r="A6" s="253" t="s">
        <v>75</v>
      </c>
      <c r="B6" s="170" t="s">
        <v>538</v>
      </c>
      <c r="C6" s="170" t="s">
        <v>539</v>
      </c>
      <c r="D6" s="170" t="s">
        <v>539</v>
      </c>
      <c r="E6" s="170" t="s">
        <v>153</v>
      </c>
      <c r="F6" s="170" t="s">
        <v>539</v>
      </c>
      <c r="G6" s="170" t="s">
        <v>538</v>
      </c>
      <c r="H6" s="166"/>
      <c r="I6" s="163" t="s">
        <v>541</v>
      </c>
      <c r="J6" s="165" t="s">
        <v>542</v>
      </c>
      <c r="K6" s="164" t="s">
        <v>542</v>
      </c>
    </row>
    <row r="7" spans="1:11" ht="20.25" customHeight="1">
      <c r="A7" s="253"/>
      <c r="B7" s="268">
        <v>42370</v>
      </c>
      <c r="C7" s="169" t="s">
        <v>543</v>
      </c>
      <c r="D7" s="169" t="s">
        <v>544</v>
      </c>
      <c r="E7" s="169" t="s">
        <v>154</v>
      </c>
      <c r="F7" s="169" t="s">
        <v>545</v>
      </c>
      <c r="G7" s="206">
        <v>42735</v>
      </c>
      <c r="H7" s="171"/>
      <c r="I7" s="172" t="s">
        <v>547</v>
      </c>
      <c r="J7" s="173" t="s">
        <v>548</v>
      </c>
      <c r="K7" s="232" t="s">
        <v>549</v>
      </c>
    </row>
    <row r="8" spans="1:11" ht="20.25" customHeight="1">
      <c r="A8" s="364"/>
      <c r="B8" s="365"/>
      <c r="C8" s="365"/>
      <c r="D8" s="365"/>
      <c r="E8" s="365"/>
      <c r="F8" s="365"/>
      <c r="G8" s="366"/>
      <c r="H8" s="162"/>
      <c r="I8" s="179"/>
      <c r="J8" s="162"/>
      <c r="K8" s="270"/>
    </row>
    <row r="9" spans="1:11" s="152" customFormat="1" ht="20.25" customHeight="1">
      <c r="A9" s="190" t="s">
        <v>868</v>
      </c>
      <c r="B9" s="181">
        <f t="shared" ref="B9:G9" si="0">SUM(B11,B15,B18,B22,B26,B30,B34,B38,B42,B46,B50,B55,B58)</f>
        <v>9725</v>
      </c>
      <c r="C9" s="181">
        <f t="shared" si="0"/>
        <v>8475</v>
      </c>
      <c r="D9" s="181">
        <f t="shared" si="0"/>
        <v>1015</v>
      </c>
      <c r="E9" s="181">
        <f t="shared" si="0"/>
        <v>60</v>
      </c>
      <c r="F9" s="181">
        <f t="shared" si="0"/>
        <v>10742</v>
      </c>
      <c r="G9" s="181">
        <f t="shared" si="0"/>
        <v>8533</v>
      </c>
      <c r="H9" s="211"/>
      <c r="I9" s="183">
        <f>SUM(B9:E9)/F9</f>
        <v>1.7943585924408862</v>
      </c>
      <c r="J9" s="184">
        <f>(G9/SUM(B9:E9))*100</f>
        <v>44.269779507133592</v>
      </c>
      <c r="K9" s="271">
        <f>(F9/SUM(B9:E9))*100</f>
        <v>55.730220492866408</v>
      </c>
    </row>
    <row r="10" spans="1:11" s="152" customFormat="1" ht="20.25" customHeight="1">
      <c r="A10" s="212"/>
      <c r="B10" s="192"/>
      <c r="C10" s="192"/>
      <c r="D10" s="192"/>
      <c r="E10" s="192"/>
      <c r="F10" s="192"/>
      <c r="G10" s="192"/>
      <c r="H10" s="211"/>
      <c r="I10" s="187"/>
      <c r="J10" s="184"/>
      <c r="K10" s="271"/>
    </row>
    <row r="11" spans="1:11" ht="20.25" customHeight="1">
      <c r="A11" s="180" t="s">
        <v>726</v>
      </c>
      <c r="B11" s="181">
        <f t="shared" ref="B11:G11" si="1">SUM(B12:B13)</f>
        <v>3208</v>
      </c>
      <c r="C11" s="181">
        <f t="shared" si="1"/>
        <v>2909</v>
      </c>
      <c r="D11" s="181">
        <f t="shared" si="1"/>
        <v>186</v>
      </c>
      <c r="E11" s="181">
        <f t="shared" si="1"/>
        <v>8</v>
      </c>
      <c r="F11" s="181">
        <f t="shared" si="1"/>
        <v>3343</v>
      </c>
      <c r="G11" s="181">
        <f t="shared" si="1"/>
        <v>2968</v>
      </c>
      <c r="H11" s="211"/>
      <c r="I11" s="183">
        <f>SUM(B11:E11)/F11</f>
        <v>1.8878253066108286</v>
      </c>
      <c r="J11" s="184">
        <f t="shared" ref="J11:J59" si="2">(G11/SUM(B11:E11))*100</f>
        <v>47.028996989383614</v>
      </c>
      <c r="K11" s="271">
        <f t="shared" ref="K11:K59" si="3">(F11/SUM(B11:E11))*100</f>
        <v>52.971003010616379</v>
      </c>
    </row>
    <row r="12" spans="1:11" s="220" customFormat="1" ht="20.25" customHeight="1">
      <c r="A12" s="212" t="s">
        <v>76</v>
      </c>
      <c r="B12" s="211">
        <v>3162</v>
      </c>
      <c r="C12" s="211">
        <v>2857</v>
      </c>
      <c r="D12" s="211">
        <v>184</v>
      </c>
      <c r="E12" s="211">
        <v>8</v>
      </c>
      <c r="F12" s="211">
        <v>3287</v>
      </c>
      <c r="G12" s="211">
        <v>2924</v>
      </c>
      <c r="H12" s="211"/>
      <c r="I12" s="187">
        <f>SUM(B12:E12)/F12</f>
        <v>1.8895649528445391</v>
      </c>
      <c r="J12" s="188">
        <f t="shared" si="2"/>
        <v>47.077765255192396</v>
      </c>
      <c r="K12" s="272">
        <f t="shared" si="3"/>
        <v>52.922234744807596</v>
      </c>
    </row>
    <row r="13" spans="1:11" s="220" customFormat="1" ht="20.25" customHeight="1">
      <c r="A13" s="212" t="s">
        <v>77</v>
      </c>
      <c r="B13" s="211">
        <v>46</v>
      </c>
      <c r="C13" s="211">
        <v>52</v>
      </c>
      <c r="D13" s="211">
        <v>2</v>
      </c>
      <c r="E13" s="211">
        <v>0</v>
      </c>
      <c r="F13" s="211">
        <v>56</v>
      </c>
      <c r="G13" s="211">
        <v>44</v>
      </c>
      <c r="H13" s="211"/>
      <c r="I13" s="187">
        <f>SUM(B13:E13)/F13</f>
        <v>1.7857142857142858</v>
      </c>
      <c r="J13" s="188">
        <f t="shared" si="2"/>
        <v>44</v>
      </c>
      <c r="K13" s="272">
        <f t="shared" si="3"/>
        <v>56.000000000000007</v>
      </c>
    </row>
    <row r="14" spans="1:11" s="220" customFormat="1" ht="20.25" customHeight="1">
      <c r="A14" s="212"/>
      <c r="B14" s="211"/>
      <c r="C14" s="211"/>
      <c r="D14" s="211"/>
      <c r="E14" s="211"/>
      <c r="F14" s="211"/>
      <c r="G14" s="211"/>
      <c r="H14" s="211"/>
      <c r="I14" s="187"/>
      <c r="J14" s="184"/>
      <c r="K14" s="271"/>
    </row>
    <row r="15" spans="1:11" s="220" customFormat="1" ht="20.25" customHeight="1">
      <c r="A15" s="180" t="s">
        <v>739</v>
      </c>
      <c r="B15" s="170">
        <f t="shared" ref="B15:G15" si="4">SUM(B16)</f>
        <v>304</v>
      </c>
      <c r="C15" s="170">
        <f t="shared" si="4"/>
        <v>549</v>
      </c>
      <c r="D15" s="170">
        <f t="shared" si="4"/>
        <v>55</v>
      </c>
      <c r="E15" s="170">
        <f t="shared" si="4"/>
        <v>0</v>
      </c>
      <c r="F15" s="170">
        <f t="shared" si="4"/>
        <v>607</v>
      </c>
      <c r="G15" s="170">
        <f t="shared" si="4"/>
        <v>301</v>
      </c>
      <c r="H15" s="170"/>
      <c r="I15" s="183">
        <f>SUM(B15:E15)/F15</f>
        <v>1.4958813838550247</v>
      </c>
      <c r="J15" s="184">
        <f t="shared" si="2"/>
        <v>33.14977973568282</v>
      </c>
      <c r="K15" s="271">
        <f t="shared" si="3"/>
        <v>66.850220264317187</v>
      </c>
    </row>
    <row r="16" spans="1:11" ht="20.25" customHeight="1">
      <c r="A16" s="212" t="s">
        <v>78</v>
      </c>
      <c r="B16" s="211">
        <v>304</v>
      </c>
      <c r="C16" s="211">
        <v>549</v>
      </c>
      <c r="D16" s="211">
        <v>55</v>
      </c>
      <c r="E16" s="211">
        <v>0</v>
      </c>
      <c r="F16" s="211">
        <v>607</v>
      </c>
      <c r="G16" s="211">
        <v>301</v>
      </c>
      <c r="H16" s="211"/>
      <c r="I16" s="187">
        <f>SUM(B16:E16)/F16</f>
        <v>1.4958813838550247</v>
      </c>
      <c r="J16" s="188">
        <f t="shared" si="2"/>
        <v>33.14977973568282</v>
      </c>
      <c r="K16" s="272">
        <f t="shared" si="3"/>
        <v>66.850220264317187</v>
      </c>
    </row>
    <row r="17" spans="1:11" ht="20.25" customHeight="1">
      <c r="A17" s="212"/>
      <c r="B17" s="211"/>
      <c r="C17" s="211"/>
      <c r="D17" s="211"/>
      <c r="E17" s="211"/>
      <c r="F17" s="211"/>
      <c r="G17" s="211"/>
      <c r="H17" s="211"/>
      <c r="I17" s="187"/>
      <c r="J17" s="184"/>
      <c r="K17" s="271"/>
    </row>
    <row r="18" spans="1:11" s="220" customFormat="1" ht="20.25" customHeight="1">
      <c r="A18" s="180" t="s">
        <v>743</v>
      </c>
      <c r="B18" s="170">
        <f t="shared" ref="B18:G18" si="5">SUM(B19:B20)</f>
        <v>419</v>
      </c>
      <c r="C18" s="170">
        <f t="shared" si="5"/>
        <v>472</v>
      </c>
      <c r="D18" s="170">
        <f t="shared" si="5"/>
        <v>34</v>
      </c>
      <c r="E18" s="170">
        <f t="shared" si="5"/>
        <v>4</v>
      </c>
      <c r="F18" s="170">
        <f t="shared" si="5"/>
        <v>455</v>
      </c>
      <c r="G18" s="170">
        <f t="shared" si="5"/>
        <v>474</v>
      </c>
      <c r="H18" s="170"/>
      <c r="I18" s="183">
        <f>SUM(B18:E18)/F18</f>
        <v>2.0417582417582416</v>
      </c>
      <c r="J18" s="184">
        <f t="shared" si="2"/>
        <v>51.022604951560815</v>
      </c>
      <c r="K18" s="271">
        <f t="shared" si="3"/>
        <v>48.977395048439185</v>
      </c>
    </row>
    <row r="19" spans="1:11" ht="20.25" customHeight="1">
      <c r="A19" s="212" t="s">
        <v>79</v>
      </c>
      <c r="B19" s="211">
        <v>352</v>
      </c>
      <c r="C19" s="211">
        <v>337</v>
      </c>
      <c r="D19" s="211">
        <v>27</v>
      </c>
      <c r="E19" s="211">
        <v>4</v>
      </c>
      <c r="F19" s="211">
        <v>363</v>
      </c>
      <c r="G19" s="211">
        <v>357</v>
      </c>
      <c r="H19" s="211"/>
      <c r="I19" s="187">
        <f>SUM(B19:E19)/F19</f>
        <v>1.9834710743801653</v>
      </c>
      <c r="J19" s="188">
        <f t="shared" si="2"/>
        <v>49.583333333333336</v>
      </c>
      <c r="K19" s="272">
        <f t="shared" si="3"/>
        <v>50.416666666666664</v>
      </c>
    </row>
    <row r="20" spans="1:11" ht="20.25" customHeight="1">
      <c r="A20" s="212" t="s">
        <v>443</v>
      </c>
      <c r="B20" s="211">
        <v>67</v>
      </c>
      <c r="C20" s="211">
        <v>135</v>
      </c>
      <c r="D20" s="211">
        <v>7</v>
      </c>
      <c r="E20" s="211">
        <v>0</v>
      </c>
      <c r="F20" s="211">
        <v>92</v>
      </c>
      <c r="G20" s="211">
        <v>117</v>
      </c>
      <c r="H20" s="211"/>
      <c r="I20" s="187">
        <f>SUM(B20:E20)/F20</f>
        <v>2.2717391304347827</v>
      </c>
      <c r="J20" s="188">
        <f t="shared" si="2"/>
        <v>55.980861244019145</v>
      </c>
      <c r="K20" s="272">
        <f t="shared" si="3"/>
        <v>44.019138755980862</v>
      </c>
    </row>
    <row r="21" spans="1:11" ht="20.25" customHeight="1">
      <c r="A21" s="212"/>
      <c r="B21" s="211"/>
      <c r="C21" s="211"/>
      <c r="D21" s="211"/>
      <c r="E21" s="211"/>
      <c r="F21" s="211"/>
      <c r="G21" s="211"/>
      <c r="H21" s="211"/>
      <c r="I21" s="187"/>
      <c r="J21" s="184"/>
      <c r="K21" s="271"/>
    </row>
    <row r="22" spans="1:11" s="220" customFormat="1" ht="20.25" customHeight="1">
      <c r="A22" s="180" t="s">
        <v>749</v>
      </c>
      <c r="B22" s="170">
        <f t="shared" ref="B22:G22" si="6">SUM(B23:B24)</f>
        <v>203</v>
      </c>
      <c r="C22" s="170">
        <f t="shared" si="6"/>
        <v>316</v>
      </c>
      <c r="D22" s="170">
        <f t="shared" si="6"/>
        <v>18</v>
      </c>
      <c r="E22" s="170">
        <f t="shared" si="6"/>
        <v>0</v>
      </c>
      <c r="F22" s="170">
        <f t="shared" si="6"/>
        <v>356</v>
      </c>
      <c r="G22" s="170">
        <f t="shared" si="6"/>
        <v>181</v>
      </c>
      <c r="H22" s="170"/>
      <c r="I22" s="183">
        <f>SUM(B22:E22)/F22</f>
        <v>1.5084269662921348</v>
      </c>
      <c r="J22" s="184">
        <f t="shared" si="2"/>
        <v>33.70577281191806</v>
      </c>
      <c r="K22" s="271">
        <f t="shared" si="3"/>
        <v>66.294227188081933</v>
      </c>
    </row>
    <row r="23" spans="1:11" s="220" customFormat="1" ht="20.25" customHeight="1">
      <c r="A23" s="212" t="s">
        <v>80</v>
      </c>
      <c r="B23" s="211">
        <v>99</v>
      </c>
      <c r="C23" s="211">
        <v>180</v>
      </c>
      <c r="D23" s="211">
        <v>7</v>
      </c>
      <c r="E23" s="211">
        <v>0</v>
      </c>
      <c r="F23" s="211">
        <v>183</v>
      </c>
      <c r="G23" s="211">
        <v>103</v>
      </c>
      <c r="H23" s="211"/>
      <c r="I23" s="187">
        <f>SUM(B23:E23)/F23</f>
        <v>1.5628415300546448</v>
      </c>
      <c r="J23" s="188">
        <f t="shared" si="2"/>
        <v>36.013986013986013</v>
      </c>
      <c r="K23" s="272">
        <f t="shared" si="3"/>
        <v>63.986013986013987</v>
      </c>
    </row>
    <row r="24" spans="1:11" s="220" customFormat="1" ht="20.25" customHeight="1">
      <c r="A24" s="212" t="s">
        <v>81</v>
      </c>
      <c r="B24" s="211">
        <v>104</v>
      </c>
      <c r="C24" s="211">
        <v>136</v>
      </c>
      <c r="D24" s="211">
        <v>11</v>
      </c>
      <c r="E24" s="211">
        <v>0</v>
      </c>
      <c r="F24" s="211">
        <v>173</v>
      </c>
      <c r="G24" s="211">
        <v>78</v>
      </c>
      <c r="H24" s="211"/>
      <c r="I24" s="187">
        <f>SUM(B24:E24)/F24</f>
        <v>1.4508670520231215</v>
      </c>
      <c r="J24" s="188">
        <f t="shared" si="2"/>
        <v>31.075697211155379</v>
      </c>
      <c r="K24" s="272">
        <f t="shared" si="3"/>
        <v>68.924302788844628</v>
      </c>
    </row>
    <row r="25" spans="1:11" s="220" customFormat="1" ht="20.25" customHeight="1">
      <c r="A25" s="212"/>
      <c r="B25" s="211"/>
      <c r="C25" s="211"/>
      <c r="D25" s="211"/>
      <c r="E25" s="211"/>
      <c r="F25" s="211"/>
      <c r="G25" s="211"/>
      <c r="H25" s="211"/>
      <c r="I25" s="187"/>
      <c r="J25" s="184"/>
      <c r="K25" s="271"/>
    </row>
    <row r="26" spans="1:11" s="220" customFormat="1" ht="20.25" customHeight="1">
      <c r="A26" s="180" t="s">
        <v>303</v>
      </c>
      <c r="B26" s="170">
        <f t="shared" ref="B26:G26" si="7">SUM(B27:B28)</f>
        <v>652</v>
      </c>
      <c r="C26" s="170">
        <f t="shared" si="7"/>
        <v>863</v>
      </c>
      <c r="D26" s="170">
        <f t="shared" si="7"/>
        <v>100</v>
      </c>
      <c r="E26" s="170">
        <f t="shared" si="7"/>
        <v>10</v>
      </c>
      <c r="F26" s="170">
        <f t="shared" si="7"/>
        <v>1089</v>
      </c>
      <c r="G26" s="170">
        <f t="shared" si="7"/>
        <v>536</v>
      </c>
      <c r="H26" s="170"/>
      <c r="I26" s="183">
        <f>SUM(B26:E26)/F26</f>
        <v>1.4921946740128558</v>
      </c>
      <c r="J26" s="184">
        <f t="shared" si="2"/>
        <v>32.984615384615381</v>
      </c>
      <c r="K26" s="271">
        <f t="shared" si="3"/>
        <v>67.015384615384605</v>
      </c>
    </row>
    <row r="27" spans="1:11" s="220" customFormat="1" ht="20.25" customHeight="1">
      <c r="A27" s="212" t="s">
        <v>82</v>
      </c>
      <c r="B27" s="211">
        <v>566</v>
      </c>
      <c r="C27" s="211">
        <v>692</v>
      </c>
      <c r="D27" s="211">
        <v>89</v>
      </c>
      <c r="E27" s="211">
        <v>10</v>
      </c>
      <c r="F27" s="211">
        <v>922</v>
      </c>
      <c r="G27" s="211">
        <v>435</v>
      </c>
      <c r="H27" s="211"/>
      <c r="I27" s="187">
        <f>SUM(B27:E27)/F27</f>
        <v>1.4718004338394794</v>
      </c>
      <c r="J27" s="188">
        <f t="shared" si="2"/>
        <v>32.056005895357401</v>
      </c>
      <c r="K27" s="272">
        <f t="shared" si="3"/>
        <v>67.943994104642584</v>
      </c>
    </row>
    <row r="28" spans="1:11" s="220" customFormat="1" ht="20.25" customHeight="1">
      <c r="A28" s="212" t="s">
        <v>83</v>
      </c>
      <c r="B28" s="211">
        <v>86</v>
      </c>
      <c r="C28" s="211">
        <v>171</v>
      </c>
      <c r="D28" s="211">
        <v>11</v>
      </c>
      <c r="E28" s="211">
        <v>0</v>
      </c>
      <c r="F28" s="211">
        <v>167</v>
      </c>
      <c r="G28" s="211">
        <v>101</v>
      </c>
      <c r="H28" s="211"/>
      <c r="I28" s="187">
        <f>SUM(B28:E28)/F28</f>
        <v>1.6047904191616766</v>
      </c>
      <c r="J28" s="188">
        <f t="shared" si="2"/>
        <v>37.686567164179102</v>
      </c>
      <c r="K28" s="272">
        <f t="shared" si="3"/>
        <v>62.31343283582089</v>
      </c>
    </row>
    <row r="29" spans="1:11" s="220" customFormat="1" ht="20.25" customHeight="1">
      <c r="A29" s="212"/>
      <c r="B29" s="211"/>
      <c r="C29" s="211"/>
      <c r="D29" s="211"/>
      <c r="E29" s="211"/>
      <c r="F29" s="211"/>
      <c r="G29" s="211"/>
      <c r="H29" s="211"/>
      <c r="I29" s="187"/>
      <c r="J29" s="184"/>
      <c r="K29" s="271"/>
    </row>
    <row r="30" spans="1:11" s="220" customFormat="1" ht="20.25" customHeight="1">
      <c r="A30" s="180" t="s">
        <v>812</v>
      </c>
      <c r="B30" s="170">
        <f t="shared" ref="B30:G30" si="8">SUM(B31:B32)</f>
        <v>931</v>
      </c>
      <c r="C30" s="170">
        <f t="shared" si="8"/>
        <v>718</v>
      </c>
      <c r="D30" s="170">
        <f t="shared" si="8"/>
        <v>47</v>
      </c>
      <c r="E30" s="170">
        <f t="shared" si="8"/>
        <v>7</v>
      </c>
      <c r="F30" s="170">
        <f t="shared" si="8"/>
        <v>838</v>
      </c>
      <c r="G30" s="170">
        <f t="shared" si="8"/>
        <v>865</v>
      </c>
      <c r="H30" s="170"/>
      <c r="I30" s="183">
        <f>SUM(B30:E30)/F30</f>
        <v>2.032219570405728</v>
      </c>
      <c r="J30" s="184">
        <f t="shared" si="2"/>
        <v>50.792718731650034</v>
      </c>
      <c r="K30" s="271">
        <f t="shared" si="3"/>
        <v>49.207281268349973</v>
      </c>
    </row>
    <row r="31" spans="1:11" s="220" customFormat="1" ht="20.25" customHeight="1">
      <c r="A31" s="212" t="s">
        <v>84</v>
      </c>
      <c r="B31" s="211">
        <v>799</v>
      </c>
      <c r="C31" s="211">
        <v>558</v>
      </c>
      <c r="D31" s="211">
        <v>41</v>
      </c>
      <c r="E31" s="211">
        <v>6</v>
      </c>
      <c r="F31" s="211">
        <v>633</v>
      </c>
      <c r="G31" s="211">
        <v>771</v>
      </c>
      <c r="H31" s="211"/>
      <c r="I31" s="187">
        <f>SUM(B31:E31)/F31</f>
        <v>2.2180094786729856</v>
      </c>
      <c r="J31" s="188">
        <f t="shared" si="2"/>
        <v>54.914529914529922</v>
      </c>
      <c r="K31" s="272">
        <f t="shared" si="3"/>
        <v>45.085470085470085</v>
      </c>
    </row>
    <row r="32" spans="1:11" s="220" customFormat="1" ht="20.25" customHeight="1">
      <c r="A32" s="212" t="s">
        <v>444</v>
      </c>
      <c r="B32" s="211">
        <v>132</v>
      </c>
      <c r="C32" s="211">
        <v>160</v>
      </c>
      <c r="D32" s="211">
        <v>6</v>
      </c>
      <c r="E32" s="211">
        <v>1</v>
      </c>
      <c r="F32" s="211">
        <v>205</v>
      </c>
      <c r="G32" s="211">
        <v>94</v>
      </c>
      <c r="H32" s="211"/>
      <c r="I32" s="187">
        <f>SUM(B32:E32)/F32</f>
        <v>1.4585365853658536</v>
      </c>
      <c r="J32" s="188">
        <f t="shared" si="2"/>
        <v>31.438127090301005</v>
      </c>
      <c r="K32" s="272">
        <f t="shared" si="3"/>
        <v>68.561872909698991</v>
      </c>
    </row>
    <row r="33" spans="1:11" s="220" customFormat="1" ht="20.25" customHeight="1">
      <c r="A33" s="212"/>
      <c r="B33" s="211"/>
      <c r="C33" s="211"/>
      <c r="D33" s="211"/>
      <c r="E33" s="211"/>
      <c r="F33" s="211"/>
      <c r="G33" s="211"/>
      <c r="H33" s="211"/>
      <c r="I33" s="187"/>
      <c r="J33" s="184"/>
      <c r="K33" s="271"/>
    </row>
    <row r="34" spans="1:11" s="220" customFormat="1" ht="20.25" customHeight="1">
      <c r="A34" s="180" t="s">
        <v>764</v>
      </c>
      <c r="B34" s="170">
        <f t="shared" ref="B34:G34" si="9">SUM(B35:B36)</f>
        <v>399</v>
      </c>
      <c r="C34" s="170">
        <f t="shared" si="9"/>
        <v>450</v>
      </c>
      <c r="D34" s="170">
        <f t="shared" si="9"/>
        <v>57</v>
      </c>
      <c r="E34" s="170">
        <f t="shared" si="9"/>
        <v>24</v>
      </c>
      <c r="F34" s="170">
        <f t="shared" si="9"/>
        <v>577</v>
      </c>
      <c r="G34" s="170">
        <f t="shared" si="9"/>
        <v>353</v>
      </c>
      <c r="H34" s="170"/>
      <c r="I34" s="183">
        <f>SUM(B34:E34)/F34</f>
        <v>1.6117850953206239</v>
      </c>
      <c r="J34" s="184">
        <f t="shared" si="2"/>
        <v>37.956989247311832</v>
      </c>
      <c r="K34" s="271">
        <f t="shared" si="3"/>
        <v>62.043010752688176</v>
      </c>
    </row>
    <row r="35" spans="1:11" s="220" customFormat="1" ht="20.25" customHeight="1">
      <c r="A35" s="212" t="s">
        <v>85</v>
      </c>
      <c r="B35" s="211">
        <v>237</v>
      </c>
      <c r="C35" s="211">
        <v>267</v>
      </c>
      <c r="D35" s="211">
        <v>11</v>
      </c>
      <c r="E35" s="211">
        <v>24</v>
      </c>
      <c r="F35" s="211">
        <v>319</v>
      </c>
      <c r="G35" s="211">
        <v>220</v>
      </c>
      <c r="H35" s="211"/>
      <c r="I35" s="187">
        <f>SUM(B35:E35)/F35</f>
        <v>1.6896551724137931</v>
      </c>
      <c r="J35" s="188">
        <f t="shared" si="2"/>
        <v>40.816326530612244</v>
      </c>
      <c r="K35" s="272">
        <f t="shared" si="3"/>
        <v>59.183673469387756</v>
      </c>
    </row>
    <row r="36" spans="1:11" s="220" customFormat="1" ht="20.25" customHeight="1">
      <c r="A36" s="213" t="s">
        <v>86</v>
      </c>
      <c r="B36" s="211">
        <v>162</v>
      </c>
      <c r="C36" s="211">
        <v>183</v>
      </c>
      <c r="D36" s="211">
        <v>46</v>
      </c>
      <c r="E36" s="211">
        <v>0</v>
      </c>
      <c r="F36" s="211">
        <v>258</v>
      </c>
      <c r="G36" s="211">
        <v>133</v>
      </c>
      <c r="H36" s="211"/>
      <c r="I36" s="187">
        <f>SUM(B36:E36)/F36</f>
        <v>1.5155038759689923</v>
      </c>
      <c r="J36" s="188">
        <f t="shared" si="2"/>
        <v>34.015345268542205</v>
      </c>
      <c r="K36" s="272">
        <f t="shared" si="3"/>
        <v>65.984654731457809</v>
      </c>
    </row>
    <row r="37" spans="1:11" s="220" customFormat="1" ht="20.25" customHeight="1">
      <c r="A37" s="213"/>
      <c r="B37" s="211"/>
      <c r="C37" s="211"/>
      <c r="D37" s="211"/>
      <c r="E37" s="211"/>
      <c r="F37" s="211"/>
      <c r="G37" s="211"/>
      <c r="H37" s="211"/>
      <c r="I37" s="187"/>
      <c r="J37" s="184"/>
      <c r="K37" s="271"/>
    </row>
    <row r="38" spans="1:11" s="220" customFormat="1" ht="20.25" customHeight="1">
      <c r="A38" s="180" t="s">
        <v>872</v>
      </c>
      <c r="B38" s="170">
        <f t="shared" ref="B38:G38" si="10">SUM(B39:B40)</f>
        <v>280</v>
      </c>
      <c r="C38" s="170">
        <f t="shared" si="10"/>
        <v>280</v>
      </c>
      <c r="D38" s="170">
        <f t="shared" si="10"/>
        <v>23</v>
      </c>
      <c r="E38" s="170">
        <f t="shared" si="10"/>
        <v>0</v>
      </c>
      <c r="F38" s="170">
        <f t="shared" si="10"/>
        <v>316</v>
      </c>
      <c r="G38" s="170">
        <f t="shared" si="10"/>
        <v>267</v>
      </c>
      <c r="H38" s="170"/>
      <c r="I38" s="183">
        <f>SUM(B38:E38)/F38</f>
        <v>1.8449367088607596</v>
      </c>
      <c r="J38" s="184">
        <f t="shared" si="2"/>
        <v>45.797598627787309</v>
      </c>
      <c r="K38" s="271">
        <f t="shared" si="3"/>
        <v>54.202401372212691</v>
      </c>
    </row>
    <row r="39" spans="1:11" s="220" customFormat="1" ht="20.25" customHeight="1">
      <c r="A39" s="212" t="s">
        <v>87</v>
      </c>
      <c r="B39" s="211">
        <v>44</v>
      </c>
      <c r="C39" s="211">
        <v>124</v>
      </c>
      <c r="D39" s="211">
        <v>15</v>
      </c>
      <c r="E39" s="211">
        <v>0</v>
      </c>
      <c r="F39" s="211">
        <v>143</v>
      </c>
      <c r="G39" s="211">
        <v>40</v>
      </c>
      <c r="H39" s="211"/>
      <c r="I39" s="187">
        <f>SUM(B39:E39)/F39</f>
        <v>1.2797202797202798</v>
      </c>
      <c r="J39" s="188">
        <f t="shared" si="2"/>
        <v>21.857923497267759</v>
      </c>
      <c r="K39" s="272">
        <f t="shared" si="3"/>
        <v>78.142076502732237</v>
      </c>
    </row>
    <row r="40" spans="1:11" s="220" customFormat="1" ht="20.25" customHeight="1">
      <c r="A40" s="212" t="s">
        <v>88</v>
      </c>
      <c r="B40" s="211">
        <v>236</v>
      </c>
      <c r="C40" s="211">
        <v>156</v>
      </c>
      <c r="D40" s="211">
        <v>8</v>
      </c>
      <c r="E40" s="211">
        <v>0</v>
      </c>
      <c r="F40" s="211">
        <v>173</v>
      </c>
      <c r="G40" s="211">
        <v>227</v>
      </c>
      <c r="H40" s="211"/>
      <c r="I40" s="187">
        <f>SUM(B40:E40)/F40</f>
        <v>2.3121387283236996</v>
      </c>
      <c r="J40" s="188">
        <f t="shared" si="2"/>
        <v>56.75</v>
      </c>
      <c r="K40" s="272">
        <f t="shared" si="3"/>
        <v>43.25</v>
      </c>
    </row>
    <row r="41" spans="1:11" s="220" customFormat="1" ht="20.25" customHeight="1">
      <c r="A41" s="212"/>
      <c r="B41" s="211"/>
      <c r="C41" s="211"/>
      <c r="D41" s="211"/>
      <c r="E41" s="211"/>
      <c r="F41" s="211"/>
      <c r="G41" s="211"/>
      <c r="H41" s="211"/>
      <c r="I41" s="187"/>
      <c r="J41" s="184"/>
      <c r="K41" s="271"/>
    </row>
    <row r="42" spans="1:11" s="220" customFormat="1" ht="20.25" customHeight="1">
      <c r="A42" s="180" t="s">
        <v>836</v>
      </c>
      <c r="B42" s="170">
        <f t="shared" ref="B42:G42" si="11">SUM(B43:B44)</f>
        <v>697</v>
      </c>
      <c r="C42" s="170">
        <f t="shared" si="11"/>
        <v>460</v>
      </c>
      <c r="D42" s="170">
        <f t="shared" si="11"/>
        <v>88</v>
      </c>
      <c r="E42" s="170">
        <f t="shared" si="11"/>
        <v>0</v>
      </c>
      <c r="F42" s="170">
        <f t="shared" si="11"/>
        <v>841</v>
      </c>
      <c r="G42" s="170">
        <f t="shared" si="11"/>
        <v>404</v>
      </c>
      <c r="H42" s="170"/>
      <c r="I42" s="183">
        <f>SUM(B42:E42)/F42</f>
        <v>1.4803804994054697</v>
      </c>
      <c r="J42" s="184">
        <f t="shared" si="2"/>
        <v>32.449799196787147</v>
      </c>
      <c r="K42" s="271">
        <f t="shared" si="3"/>
        <v>67.55020080321286</v>
      </c>
    </row>
    <row r="43" spans="1:11" s="220" customFormat="1" ht="20.25" customHeight="1">
      <c r="A43" s="212" t="s">
        <v>89</v>
      </c>
      <c r="B43" s="211">
        <v>617</v>
      </c>
      <c r="C43" s="211">
        <v>369</v>
      </c>
      <c r="D43" s="211">
        <v>24</v>
      </c>
      <c r="E43" s="211">
        <v>0</v>
      </c>
      <c r="F43" s="211">
        <v>716</v>
      </c>
      <c r="G43" s="211">
        <v>294</v>
      </c>
      <c r="H43" s="211"/>
      <c r="I43" s="187">
        <f>SUM(B43:E43)/F43</f>
        <v>1.4106145251396649</v>
      </c>
      <c r="J43" s="188">
        <f t="shared" si="2"/>
        <v>29.108910891089106</v>
      </c>
      <c r="K43" s="272">
        <f t="shared" si="3"/>
        <v>70.89108910891089</v>
      </c>
    </row>
    <row r="44" spans="1:11" s="220" customFormat="1" ht="20.25" customHeight="1">
      <c r="A44" s="212" t="s">
        <v>90</v>
      </c>
      <c r="B44" s="211">
        <v>80</v>
      </c>
      <c r="C44" s="211">
        <v>91</v>
      </c>
      <c r="D44" s="211">
        <v>64</v>
      </c>
      <c r="E44" s="211">
        <v>0</v>
      </c>
      <c r="F44" s="211">
        <v>125</v>
      </c>
      <c r="G44" s="211">
        <v>110</v>
      </c>
      <c r="H44" s="211"/>
      <c r="I44" s="187">
        <f>SUM(B44:E44)/F44</f>
        <v>1.88</v>
      </c>
      <c r="J44" s="188">
        <f t="shared" si="2"/>
        <v>46.808510638297875</v>
      </c>
      <c r="K44" s="272">
        <f t="shared" si="3"/>
        <v>53.191489361702125</v>
      </c>
    </row>
    <row r="45" spans="1:11" s="220" customFormat="1" ht="20.25" customHeight="1">
      <c r="A45" s="212"/>
      <c r="B45" s="211"/>
      <c r="C45" s="211"/>
      <c r="D45" s="211"/>
      <c r="E45" s="211"/>
      <c r="F45" s="211"/>
      <c r="G45" s="211"/>
      <c r="H45" s="211"/>
      <c r="I45" s="187"/>
      <c r="J45" s="184"/>
      <c r="K45" s="271"/>
    </row>
    <row r="46" spans="1:11" s="220" customFormat="1" ht="20.25" customHeight="1">
      <c r="A46" s="180" t="s">
        <v>873</v>
      </c>
      <c r="B46" s="170">
        <f t="shared" ref="B46:G46" si="12">SUM(B47:B48)</f>
        <v>363</v>
      </c>
      <c r="C46" s="170">
        <f t="shared" si="12"/>
        <v>286</v>
      </c>
      <c r="D46" s="170">
        <f t="shared" si="12"/>
        <v>26</v>
      </c>
      <c r="E46" s="170">
        <f t="shared" si="12"/>
        <v>4</v>
      </c>
      <c r="F46" s="170">
        <f t="shared" si="12"/>
        <v>375</v>
      </c>
      <c r="G46" s="170">
        <f t="shared" si="12"/>
        <v>304</v>
      </c>
      <c r="H46" s="170"/>
      <c r="I46" s="183">
        <f>SUM(B46:E46)/F46</f>
        <v>1.8106666666666666</v>
      </c>
      <c r="J46" s="184">
        <f t="shared" si="2"/>
        <v>44.771723122238591</v>
      </c>
      <c r="K46" s="271">
        <f t="shared" si="3"/>
        <v>55.228276877761417</v>
      </c>
    </row>
    <row r="47" spans="1:11" s="220" customFormat="1" ht="20.25" customHeight="1">
      <c r="A47" s="212" t="s">
        <v>91</v>
      </c>
      <c r="B47" s="211">
        <v>250</v>
      </c>
      <c r="C47" s="211">
        <v>235</v>
      </c>
      <c r="D47" s="211">
        <v>25</v>
      </c>
      <c r="E47" s="211">
        <v>3</v>
      </c>
      <c r="F47" s="211">
        <v>316</v>
      </c>
      <c r="G47" s="211">
        <v>197</v>
      </c>
      <c r="H47" s="211"/>
      <c r="I47" s="187">
        <f>SUM(B47:E47)/F47</f>
        <v>1.6234177215189873</v>
      </c>
      <c r="J47" s="188">
        <f t="shared" si="2"/>
        <v>38.40155945419103</v>
      </c>
      <c r="K47" s="272">
        <f t="shared" si="3"/>
        <v>61.598440545808963</v>
      </c>
    </row>
    <row r="48" spans="1:11" s="220" customFormat="1" ht="20.25" customHeight="1">
      <c r="A48" s="212" t="s">
        <v>92</v>
      </c>
      <c r="B48" s="211">
        <v>113</v>
      </c>
      <c r="C48" s="211">
        <v>51</v>
      </c>
      <c r="D48" s="211">
        <v>1</v>
      </c>
      <c r="E48" s="211">
        <v>1</v>
      </c>
      <c r="F48" s="211">
        <v>59</v>
      </c>
      <c r="G48" s="211">
        <v>107</v>
      </c>
      <c r="H48" s="211"/>
      <c r="I48" s="187">
        <f>SUM(B48:E48)/F48</f>
        <v>2.8135593220338984</v>
      </c>
      <c r="J48" s="188">
        <f t="shared" si="2"/>
        <v>64.457831325301214</v>
      </c>
      <c r="K48" s="272">
        <f t="shared" si="3"/>
        <v>35.542168674698793</v>
      </c>
    </row>
    <row r="49" spans="1:11" s="220" customFormat="1" ht="20.25" customHeight="1">
      <c r="A49" s="212"/>
      <c r="B49" s="211"/>
      <c r="C49" s="211"/>
      <c r="D49" s="211"/>
      <c r="E49" s="211"/>
      <c r="F49" s="211"/>
      <c r="G49" s="211"/>
      <c r="H49" s="216"/>
      <c r="I49" s="187"/>
      <c r="J49" s="184"/>
      <c r="K49" s="271"/>
    </row>
    <row r="50" spans="1:11" s="220" customFormat="1" ht="20.25" customHeight="1">
      <c r="A50" s="180" t="s">
        <v>874</v>
      </c>
      <c r="B50" s="170">
        <f t="shared" ref="B50:G50" si="13">SUM(B51:B53)</f>
        <v>225</v>
      </c>
      <c r="C50" s="170">
        <f t="shared" si="13"/>
        <v>292</v>
      </c>
      <c r="D50" s="170">
        <f t="shared" si="13"/>
        <v>46</v>
      </c>
      <c r="E50" s="170">
        <f t="shared" si="13"/>
        <v>0</v>
      </c>
      <c r="F50" s="170">
        <f t="shared" si="13"/>
        <v>365</v>
      </c>
      <c r="G50" s="170">
        <f t="shared" si="13"/>
        <v>198</v>
      </c>
      <c r="H50" s="402"/>
      <c r="I50" s="183">
        <f>SUM(B50:E50)/F50</f>
        <v>1.5424657534246575</v>
      </c>
      <c r="J50" s="184">
        <f t="shared" si="2"/>
        <v>35.168738898756665</v>
      </c>
      <c r="K50" s="271">
        <f t="shared" si="3"/>
        <v>64.831261101243342</v>
      </c>
    </row>
    <row r="51" spans="1:11" s="220" customFormat="1" ht="20.25" customHeight="1">
      <c r="A51" s="212" t="s">
        <v>93</v>
      </c>
      <c r="B51" s="211">
        <v>31</v>
      </c>
      <c r="C51" s="211">
        <v>54</v>
      </c>
      <c r="D51" s="211">
        <v>1</v>
      </c>
      <c r="E51" s="211">
        <v>0</v>
      </c>
      <c r="F51" s="211">
        <v>63</v>
      </c>
      <c r="G51" s="211">
        <v>23</v>
      </c>
      <c r="H51" s="216"/>
      <c r="I51" s="187">
        <f>SUM(B51:E51)/F51</f>
        <v>1.3650793650793651</v>
      </c>
      <c r="J51" s="188">
        <f t="shared" si="2"/>
        <v>26.744186046511626</v>
      </c>
      <c r="K51" s="272">
        <f t="shared" si="3"/>
        <v>73.255813953488371</v>
      </c>
    </row>
    <row r="52" spans="1:11" s="220" customFormat="1" ht="20.25" customHeight="1">
      <c r="A52" s="212" t="s">
        <v>94</v>
      </c>
      <c r="B52" s="211">
        <v>68</v>
      </c>
      <c r="C52" s="211">
        <v>84</v>
      </c>
      <c r="D52" s="211">
        <v>20</v>
      </c>
      <c r="E52" s="211">
        <v>0</v>
      </c>
      <c r="F52" s="211">
        <v>114</v>
      </c>
      <c r="G52" s="211">
        <v>58</v>
      </c>
      <c r="H52" s="216"/>
      <c r="I52" s="187">
        <f>SUM(B52:E52)/F52</f>
        <v>1.5087719298245614</v>
      </c>
      <c r="J52" s="188">
        <f t="shared" si="2"/>
        <v>33.720930232558139</v>
      </c>
      <c r="K52" s="272">
        <f t="shared" si="3"/>
        <v>66.279069767441854</v>
      </c>
    </row>
    <row r="53" spans="1:11" s="220" customFormat="1" ht="20.25" customHeight="1">
      <c r="A53" s="212" t="s">
        <v>95</v>
      </c>
      <c r="B53" s="211">
        <v>126</v>
      </c>
      <c r="C53" s="211">
        <v>154</v>
      </c>
      <c r="D53" s="211">
        <v>25</v>
      </c>
      <c r="E53" s="211">
        <v>0</v>
      </c>
      <c r="F53" s="211">
        <v>188</v>
      </c>
      <c r="G53" s="211">
        <v>117</v>
      </c>
      <c r="H53" s="216"/>
      <c r="I53" s="187">
        <f>SUM(B53:E53)/F53</f>
        <v>1.6223404255319149</v>
      </c>
      <c r="J53" s="188">
        <f t="shared" si="2"/>
        <v>38.360655737704917</v>
      </c>
      <c r="K53" s="272">
        <f t="shared" si="3"/>
        <v>61.639344262295083</v>
      </c>
    </row>
    <row r="54" spans="1:11" s="220" customFormat="1" ht="20.25" customHeight="1">
      <c r="A54" s="212"/>
      <c r="B54" s="211"/>
      <c r="C54" s="211"/>
      <c r="D54" s="211"/>
      <c r="E54" s="211"/>
      <c r="F54" s="211"/>
      <c r="G54" s="211"/>
      <c r="H54" s="216"/>
      <c r="I54" s="187"/>
      <c r="J54" s="184"/>
      <c r="K54" s="271"/>
    </row>
    <row r="55" spans="1:11" s="220" customFormat="1" ht="20.25" customHeight="1">
      <c r="A55" s="180" t="s">
        <v>70</v>
      </c>
      <c r="B55" s="170">
        <f t="shared" ref="B55:G55" si="14">SUM(B56)</f>
        <v>1052</v>
      </c>
      <c r="C55" s="170">
        <f t="shared" si="14"/>
        <v>435</v>
      </c>
      <c r="D55" s="170">
        <f t="shared" si="14"/>
        <v>68</v>
      </c>
      <c r="E55" s="170">
        <f t="shared" si="14"/>
        <v>3</v>
      </c>
      <c r="F55" s="170">
        <f t="shared" si="14"/>
        <v>695</v>
      </c>
      <c r="G55" s="170">
        <f t="shared" si="14"/>
        <v>863</v>
      </c>
      <c r="H55" s="402"/>
      <c r="I55" s="183">
        <f>SUM(B55:E55)/F55</f>
        <v>2.241726618705036</v>
      </c>
      <c r="J55" s="184">
        <f t="shared" si="2"/>
        <v>55.391527599486523</v>
      </c>
      <c r="K55" s="271">
        <f t="shared" si="3"/>
        <v>44.608472400513477</v>
      </c>
    </row>
    <row r="56" spans="1:11" s="220" customFormat="1" ht="20.25" customHeight="1">
      <c r="A56" s="212" t="s">
        <v>96</v>
      </c>
      <c r="B56" s="211">
        <v>1052</v>
      </c>
      <c r="C56" s="211">
        <v>435</v>
      </c>
      <c r="D56" s="211">
        <v>68</v>
      </c>
      <c r="E56" s="211">
        <v>3</v>
      </c>
      <c r="F56" s="211">
        <v>695</v>
      </c>
      <c r="G56" s="211">
        <v>863</v>
      </c>
      <c r="H56" s="216"/>
      <c r="I56" s="187">
        <f>SUM(B56:E56)/F56</f>
        <v>2.241726618705036</v>
      </c>
      <c r="J56" s="188">
        <f t="shared" si="2"/>
        <v>55.391527599486523</v>
      </c>
      <c r="K56" s="272">
        <f t="shared" si="3"/>
        <v>44.608472400513477</v>
      </c>
    </row>
    <row r="57" spans="1:11" s="220" customFormat="1" ht="20.25" customHeight="1">
      <c r="A57" s="212"/>
      <c r="B57" s="211"/>
      <c r="C57" s="211"/>
      <c r="D57" s="211"/>
      <c r="E57" s="211"/>
      <c r="F57" s="211"/>
      <c r="G57" s="211"/>
      <c r="H57" s="216"/>
      <c r="I57" s="183"/>
      <c r="J57" s="184"/>
      <c r="K57" s="271"/>
    </row>
    <row r="58" spans="1:11" s="220" customFormat="1" ht="20.25" customHeight="1">
      <c r="A58" s="180" t="s">
        <v>72</v>
      </c>
      <c r="B58" s="170">
        <f t="shared" ref="B58:G58" si="15">SUM(B59)</f>
        <v>992</v>
      </c>
      <c r="C58" s="170">
        <f t="shared" si="15"/>
        <v>445</v>
      </c>
      <c r="D58" s="170">
        <f t="shared" si="15"/>
        <v>267</v>
      </c>
      <c r="E58" s="170">
        <f t="shared" si="15"/>
        <v>0</v>
      </c>
      <c r="F58" s="170">
        <f t="shared" si="15"/>
        <v>885</v>
      </c>
      <c r="G58" s="170">
        <f t="shared" si="15"/>
        <v>819</v>
      </c>
      <c r="H58" s="402"/>
      <c r="I58" s="183">
        <f>SUM(B58:E58)/F58</f>
        <v>1.9254237288135594</v>
      </c>
      <c r="J58" s="184">
        <f t="shared" si="2"/>
        <v>48.063380281690144</v>
      </c>
      <c r="K58" s="271">
        <f t="shared" si="3"/>
        <v>51.936619718309863</v>
      </c>
    </row>
    <row r="59" spans="1:11" s="220" customFormat="1" ht="20.25" customHeight="1">
      <c r="A59" s="212" t="s">
        <v>1036</v>
      </c>
      <c r="B59" s="211">
        <v>992</v>
      </c>
      <c r="C59" s="211">
        <v>445</v>
      </c>
      <c r="D59" s="211">
        <v>267</v>
      </c>
      <c r="E59" s="211">
        <v>0</v>
      </c>
      <c r="F59" s="211">
        <v>885</v>
      </c>
      <c r="G59" s="211">
        <v>819</v>
      </c>
      <c r="H59" s="216"/>
      <c r="I59" s="187">
        <f>SUM(B59:E59)/F59</f>
        <v>1.9254237288135594</v>
      </c>
      <c r="J59" s="188">
        <f t="shared" si="2"/>
        <v>48.063380281690144</v>
      </c>
      <c r="K59" s="272">
        <f t="shared" si="3"/>
        <v>51.936619718309863</v>
      </c>
    </row>
    <row r="60" spans="1:11" ht="20.25" customHeight="1">
      <c r="A60" s="367" t="s">
        <v>172</v>
      </c>
      <c r="B60" s="198"/>
      <c r="C60" s="171"/>
      <c r="D60" s="171"/>
      <c r="E60" s="171"/>
      <c r="F60" s="171"/>
      <c r="G60" s="199"/>
      <c r="H60" s="171"/>
      <c r="I60" s="218"/>
      <c r="J60" s="218"/>
      <c r="K60" s="218"/>
    </row>
    <row r="61" spans="1:11" ht="20.25" customHeight="1">
      <c r="A61" s="39" t="s">
        <v>1072</v>
      </c>
    </row>
  </sheetData>
  <sheetProtection selectLockedCells="1" selectUnlockedCells="1"/>
  <mergeCells count="3">
    <mergeCell ref="A3:K3"/>
    <mergeCell ref="B5:G5"/>
    <mergeCell ref="I5:K5"/>
  </mergeCells>
  <phoneticPr fontId="0" type="noConversion"/>
  <dataValidations count="3">
    <dataValidation operator="equal" allowBlank="1" showErrorMessage="1" errorTitle="ESTIMADO SHREK:" error="El balance en materia penal juvenil no coincide con el dato digitado." sqref="B60">
      <formula1>0</formula1>
      <formula2>0</formula2>
    </dataValidation>
    <dataValidation operator="equal" allowBlank="1" showErrorMessage="1" errorTitle="ESTIMADO SHREK:" error="El balance en materia penal juvenil no coincide con el dato digitado." sqref="B41:G41 B21 B25 C49:G49 B14 B45:G45 B17 B54:G54 B57:G57 B29 B33 B37:G37"/>
    <dataValidation type="whole" operator="equal" allowBlank="1" showErrorMessage="1" errorTitle="ESTIMADO SHREK:" error="El balance en materia penal juvenil no coincide con el dato digitado." sqref="G59 G35:G36 G16:G17 G12:G14 G56 G47:G48 G19:G21 G51:G53 G39:G40 G43:G44 G23:G25 G27:G29 G32:G33">
      <formula1>B12+C12+D12-F12</formula1>
      <formula2>0</formula2>
    </dataValidation>
  </dataValidations>
  <printOptions horizontalCentered="1" verticalCentered="1"/>
  <pageMargins left="0" right="0" top="0" bottom="0" header="0.51180555555555551" footer="0.51180555555555551"/>
  <pageSetup scale="35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00B0F0"/>
  </sheetPr>
  <dimension ref="A1:K117"/>
  <sheetViews>
    <sheetView workbookViewId="0">
      <selection activeCell="A3" sqref="A3:K3"/>
    </sheetView>
  </sheetViews>
  <sheetFormatPr baseColWidth="10" defaultColWidth="11.44140625" defaultRowHeight="21"/>
  <cols>
    <col min="1" max="1" width="80" style="219" customWidth="1"/>
    <col min="2" max="2" width="18.109375" style="219" customWidth="1"/>
    <col min="3" max="3" width="19.88671875" style="219" customWidth="1"/>
    <col min="4" max="6" width="20" style="219" customWidth="1"/>
    <col min="7" max="7" width="19" style="219" customWidth="1"/>
    <col min="8" max="8" width="5.6640625" style="152" customWidth="1"/>
    <col min="9" max="11" width="18.6640625" style="152" customWidth="1"/>
    <col min="12" max="30" width="11.44140625" style="219"/>
    <col min="31" max="31" width="15.44140625" style="219" customWidth="1"/>
    <col min="32" max="16384" width="11.44140625" style="219"/>
  </cols>
  <sheetData>
    <row r="1" spans="1:11">
      <c r="A1" s="220" t="s">
        <v>97</v>
      </c>
      <c r="B1" s="154"/>
      <c r="C1" s="154"/>
      <c r="D1" s="154"/>
      <c r="E1" s="154"/>
      <c r="F1" s="154"/>
      <c r="G1" s="154"/>
    </row>
    <row r="2" spans="1:11">
      <c r="A2" s="153"/>
      <c r="B2" s="265"/>
      <c r="C2" s="265"/>
      <c r="D2" s="265"/>
      <c r="E2" s="265"/>
      <c r="F2" s="265"/>
      <c r="G2" s="265"/>
    </row>
    <row r="3" spans="1:11">
      <c r="A3" s="457" t="s">
        <v>1068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</row>
    <row r="4" spans="1:11">
      <c r="A4" s="158"/>
      <c r="B4" s="157"/>
      <c r="C4" s="158"/>
      <c r="D4" s="158"/>
      <c r="E4" s="158"/>
      <c r="F4" s="158"/>
      <c r="G4" s="158"/>
      <c r="H4" s="160"/>
      <c r="I4" s="160"/>
      <c r="J4" s="160"/>
      <c r="K4" s="160"/>
    </row>
    <row r="5" spans="1:11" ht="19.5" customHeight="1">
      <c r="A5" s="329"/>
      <c r="B5" s="458" t="s">
        <v>535</v>
      </c>
      <c r="C5" s="458"/>
      <c r="D5" s="458"/>
      <c r="E5" s="458"/>
      <c r="F5" s="458"/>
      <c r="G5" s="458"/>
      <c r="H5" s="162"/>
      <c r="I5" s="459" t="s">
        <v>536</v>
      </c>
      <c r="J5" s="459"/>
      <c r="K5" s="459"/>
    </row>
    <row r="6" spans="1:11" ht="19.5" customHeight="1">
      <c r="A6" s="186" t="s">
        <v>537</v>
      </c>
      <c r="B6" s="165" t="s">
        <v>538</v>
      </c>
      <c r="C6" s="165" t="s">
        <v>539</v>
      </c>
      <c r="D6" s="165" t="s">
        <v>539</v>
      </c>
      <c r="E6" s="165" t="s">
        <v>153</v>
      </c>
      <c r="F6" s="165" t="s">
        <v>539</v>
      </c>
      <c r="G6" s="164" t="s">
        <v>538</v>
      </c>
      <c r="H6" s="166"/>
      <c r="I6" s="163" t="s">
        <v>541</v>
      </c>
      <c r="J6" s="165" t="s">
        <v>542</v>
      </c>
      <c r="K6" s="164" t="s">
        <v>542</v>
      </c>
    </row>
    <row r="7" spans="1:11" ht="19.5" customHeight="1">
      <c r="A7" s="237"/>
      <c r="B7" s="368">
        <v>42370</v>
      </c>
      <c r="C7" s="173" t="s">
        <v>543</v>
      </c>
      <c r="D7" s="173" t="s">
        <v>544</v>
      </c>
      <c r="E7" s="173" t="s">
        <v>983</v>
      </c>
      <c r="F7" s="173" t="s">
        <v>545</v>
      </c>
      <c r="G7" s="168">
        <v>42735</v>
      </c>
      <c r="H7" s="171"/>
      <c r="I7" s="172" t="s">
        <v>547</v>
      </c>
      <c r="J7" s="173" t="s">
        <v>548</v>
      </c>
      <c r="K7" s="232" t="s">
        <v>549</v>
      </c>
    </row>
    <row r="8" spans="1:11">
      <c r="A8" s="369"/>
      <c r="B8" s="370"/>
      <c r="C8" s="370"/>
      <c r="D8" s="370"/>
      <c r="E8" s="370"/>
      <c r="F8" s="370"/>
      <c r="G8" s="371"/>
      <c r="H8" s="166"/>
      <c r="I8" s="179"/>
      <c r="J8" s="166"/>
      <c r="K8" s="179"/>
    </row>
    <row r="9" spans="1:11">
      <c r="A9" s="190" t="s">
        <v>868</v>
      </c>
      <c r="B9" s="233">
        <f t="shared" ref="B9:G9" si="0">SUM(B11,B20,B23,B31,B38,B45,B53,B62,B70,B78,B86,B96,B100,B107,B112)</f>
        <v>23156</v>
      </c>
      <c r="C9" s="233">
        <f t="shared" si="0"/>
        <v>39356</v>
      </c>
      <c r="D9" s="233">
        <f t="shared" si="0"/>
        <v>2865</v>
      </c>
      <c r="E9" s="233">
        <f t="shared" si="0"/>
        <v>88</v>
      </c>
      <c r="F9" s="233">
        <f t="shared" si="0"/>
        <v>44001</v>
      </c>
      <c r="G9" s="233">
        <f t="shared" si="0"/>
        <v>21464</v>
      </c>
      <c r="H9" s="182"/>
      <c r="I9" s="183">
        <f>SUM(B9:E9)/F9</f>
        <v>1.4878070952932887</v>
      </c>
      <c r="J9" s="184">
        <f>(G9/SUM(B9:E9))*100</f>
        <v>32.786985412052246</v>
      </c>
      <c r="K9" s="185">
        <f>(F9/SUM(B9:E9))*100</f>
        <v>67.213014587947768</v>
      </c>
    </row>
    <row r="10" spans="1:11">
      <c r="A10" s="212"/>
      <c r="B10" s="214"/>
      <c r="C10" s="192"/>
      <c r="D10" s="192"/>
      <c r="E10" s="192"/>
      <c r="F10" s="192"/>
      <c r="G10" s="192"/>
      <c r="H10" s="182"/>
      <c r="I10" s="187"/>
      <c r="J10" s="188"/>
      <c r="K10" s="189"/>
    </row>
    <row r="11" spans="1:11">
      <c r="A11" s="190" t="s">
        <v>551</v>
      </c>
      <c r="B11" s="233">
        <f t="shared" ref="B11:G11" si="1">SUM(B12:B18)</f>
        <v>5247</v>
      </c>
      <c r="C11" s="233">
        <f t="shared" si="1"/>
        <v>6374</v>
      </c>
      <c r="D11" s="233">
        <f t="shared" si="1"/>
        <v>44</v>
      </c>
      <c r="E11" s="233">
        <f t="shared" si="1"/>
        <v>1</v>
      </c>
      <c r="F11" s="233">
        <f t="shared" si="1"/>
        <v>6387</v>
      </c>
      <c r="G11" s="233">
        <f t="shared" si="1"/>
        <v>5279</v>
      </c>
      <c r="H11" s="182"/>
      <c r="I11" s="183">
        <f t="shared" ref="I11:I18" si="2">SUM(B11:E11)/F11</f>
        <v>1.8265226240801629</v>
      </c>
      <c r="J11" s="184">
        <f t="shared" ref="J11:J18" si="3">(G11/SUM(B11:E11))*100</f>
        <v>45.251157208983372</v>
      </c>
      <c r="K11" s="185">
        <f t="shared" ref="K11:K74" si="4">(F11/SUM(B11:E11))*100</f>
        <v>54.748842791016628</v>
      </c>
    </row>
    <row r="12" spans="1:11">
      <c r="A12" s="191" t="s">
        <v>98</v>
      </c>
      <c r="B12" s="192">
        <v>3275</v>
      </c>
      <c r="C12" s="192">
        <v>3918</v>
      </c>
      <c r="D12" s="192">
        <v>27</v>
      </c>
      <c r="E12" s="192">
        <v>1</v>
      </c>
      <c r="F12" s="192">
        <v>3169</v>
      </c>
      <c r="G12" s="192">
        <v>4052</v>
      </c>
      <c r="H12" s="182"/>
      <c r="I12" s="187">
        <f t="shared" si="2"/>
        <v>2.2786367939413066</v>
      </c>
      <c r="J12" s="188">
        <f t="shared" si="3"/>
        <v>56.114111618889353</v>
      </c>
      <c r="K12" s="189">
        <f t="shared" si="4"/>
        <v>43.885888381110647</v>
      </c>
    </row>
    <row r="13" spans="1:11">
      <c r="A13" s="191" t="s">
        <v>267</v>
      </c>
      <c r="B13" s="192">
        <v>804</v>
      </c>
      <c r="C13" s="192">
        <v>676</v>
      </c>
      <c r="D13" s="192">
        <v>1</v>
      </c>
      <c r="E13" s="192">
        <v>0</v>
      </c>
      <c r="F13" s="192">
        <v>796</v>
      </c>
      <c r="G13" s="192">
        <v>685</v>
      </c>
      <c r="H13" s="182"/>
      <c r="I13" s="187">
        <f t="shared" si="2"/>
        <v>1.8605527638190955</v>
      </c>
      <c r="J13" s="188">
        <f t="shared" si="3"/>
        <v>46.2525320729237</v>
      </c>
      <c r="K13" s="189">
        <f t="shared" si="4"/>
        <v>53.7474679270763</v>
      </c>
    </row>
    <row r="14" spans="1:11">
      <c r="A14" s="191" t="s">
        <v>265</v>
      </c>
      <c r="B14" s="192">
        <v>259</v>
      </c>
      <c r="C14" s="192">
        <v>527</v>
      </c>
      <c r="D14" s="192">
        <v>4</v>
      </c>
      <c r="E14" s="192">
        <v>0</v>
      </c>
      <c r="F14" s="192">
        <v>660</v>
      </c>
      <c r="G14" s="192">
        <v>130</v>
      </c>
      <c r="H14" s="182"/>
      <c r="I14" s="187">
        <f t="shared" si="2"/>
        <v>1.196969696969697</v>
      </c>
      <c r="J14" s="188">
        <f t="shared" si="3"/>
        <v>16.455696202531644</v>
      </c>
      <c r="K14" s="189">
        <f t="shared" si="4"/>
        <v>83.544303797468359</v>
      </c>
    </row>
    <row r="15" spans="1:11">
      <c r="A15" s="191" t="s">
        <v>266</v>
      </c>
      <c r="B15" s="192">
        <v>579</v>
      </c>
      <c r="C15" s="192">
        <v>475</v>
      </c>
      <c r="D15" s="192">
        <v>5</v>
      </c>
      <c r="E15" s="192">
        <v>0</v>
      </c>
      <c r="F15" s="192">
        <v>828</v>
      </c>
      <c r="G15" s="192">
        <v>231</v>
      </c>
      <c r="H15" s="182"/>
      <c r="I15" s="187">
        <f t="shared" si="2"/>
        <v>1.2789855072463767</v>
      </c>
      <c r="J15" s="188">
        <f t="shared" si="3"/>
        <v>21.813031161473088</v>
      </c>
      <c r="K15" s="189">
        <f t="shared" si="4"/>
        <v>78.186968838526923</v>
      </c>
    </row>
    <row r="16" spans="1:11">
      <c r="A16" s="191" t="s">
        <v>262</v>
      </c>
      <c r="B16" s="192">
        <v>29</v>
      </c>
      <c r="C16" s="192">
        <v>147</v>
      </c>
      <c r="D16" s="192">
        <v>0</v>
      </c>
      <c r="E16" s="192">
        <v>0</v>
      </c>
      <c r="F16" s="192">
        <v>139</v>
      </c>
      <c r="G16" s="192">
        <v>37</v>
      </c>
      <c r="H16" s="182"/>
      <c r="I16" s="187">
        <f t="shared" si="2"/>
        <v>1.2661870503597121</v>
      </c>
      <c r="J16" s="188">
        <f t="shared" si="3"/>
        <v>21.022727272727273</v>
      </c>
      <c r="K16" s="189">
        <f t="shared" si="4"/>
        <v>78.977272727272734</v>
      </c>
    </row>
    <row r="17" spans="1:11">
      <c r="A17" s="191" t="s">
        <v>263</v>
      </c>
      <c r="B17" s="192">
        <v>266</v>
      </c>
      <c r="C17" s="192">
        <v>531</v>
      </c>
      <c r="D17" s="192">
        <v>7</v>
      </c>
      <c r="E17" s="192">
        <v>0</v>
      </c>
      <c r="F17" s="192">
        <v>682</v>
      </c>
      <c r="G17" s="192">
        <v>122</v>
      </c>
      <c r="H17" s="182"/>
      <c r="I17" s="187">
        <f t="shared" si="2"/>
        <v>1.1788856304985338</v>
      </c>
      <c r="J17" s="188">
        <f t="shared" si="3"/>
        <v>15.17412935323383</v>
      </c>
      <c r="K17" s="189">
        <f t="shared" si="4"/>
        <v>84.825870646766163</v>
      </c>
    </row>
    <row r="18" spans="1:11">
      <c r="A18" s="191" t="s">
        <v>264</v>
      </c>
      <c r="B18" s="192">
        <v>35</v>
      </c>
      <c r="C18" s="192">
        <v>100</v>
      </c>
      <c r="D18" s="192">
        <v>0</v>
      </c>
      <c r="E18" s="192">
        <v>0</v>
      </c>
      <c r="F18" s="192">
        <v>113</v>
      </c>
      <c r="G18" s="192">
        <v>22</v>
      </c>
      <c r="H18" s="182"/>
      <c r="I18" s="187">
        <f t="shared" si="2"/>
        <v>1.1946902654867257</v>
      </c>
      <c r="J18" s="188">
        <f t="shared" si="3"/>
        <v>16.296296296296298</v>
      </c>
      <c r="K18" s="189">
        <f t="shared" si="4"/>
        <v>83.703703703703695</v>
      </c>
    </row>
    <row r="19" spans="1:11">
      <c r="A19" s="194"/>
      <c r="B19" s="192"/>
      <c r="C19" s="192"/>
      <c r="D19" s="192"/>
      <c r="E19" s="192"/>
      <c r="F19" s="192"/>
      <c r="G19" s="192"/>
      <c r="H19" s="182"/>
      <c r="I19" s="187"/>
      <c r="J19" s="188"/>
      <c r="K19" s="189"/>
    </row>
    <row r="20" spans="1:11" s="220" customFormat="1" ht="20.399999999999999">
      <c r="A20" s="190" t="s">
        <v>268</v>
      </c>
      <c r="B20" s="181">
        <f t="shared" ref="B20:G20" si="5">SUM(B21)</f>
        <v>1945</v>
      </c>
      <c r="C20" s="181">
        <f t="shared" si="5"/>
        <v>2083</v>
      </c>
      <c r="D20" s="181">
        <f t="shared" si="5"/>
        <v>4</v>
      </c>
      <c r="E20" s="181">
        <f t="shared" si="5"/>
        <v>0</v>
      </c>
      <c r="F20" s="181">
        <f t="shared" si="5"/>
        <v>1876</v>
      </c>
      <c r="G20" s="181">
        <f t="shared" si="5"/>
        <v>2156</v>
      </c>
      <c r="H20" s="169"/>
      <c r="I20" s="183">
        <f>SUM(B20:E20)/F20</f>
        <v>2.1492537313432836</v>
      </c>
      <c r="J20" s="184">
        <f>(G20/SUM(B20:E20))*100</f>
        <v>53.472222222222221</v>
      </c>
      <c r="K20" s="185">
        <f t="shared" si="4"/>
        <v>46.527777777777779</v>
      </c>
    </row>
    <row r="21" spans="1:11">
      <c r="A21" s="191" t="s">
        <v>99</v>
      </c>
      <c r="B21" s="192">
        <v>1945</v>
      </c>
      <c r="C21" s="192">
        <v>2083</v>
      </c>
      <c r="D21" s="192">
        <v>4</v>
      </c>
      <c r="E21" s="192">
        <v>0</v>
      </c>
      <c r="F21" s="192">
        <v>1876</v>
      </c>
      <c r="G21" s="192">
        <v>2156</v>
      </c>
      <c r="H21" s="182"/>
      <c r="I21" s="187">
        <f>SUM(B21:E21)/F21</f>
        <v>2.1492537313432836</v>
      </c>
      <c r="J21" s="188">
        <f>(G21/SUM(B21:E21))*100</f>
        <v>53.472222222222221</v>
      </c>
      <c r="K21" s="189">
        <f t="shared" si="4"/>
        <v>46.527777777777779</v>
      </c>
    </row>
    <row r="22" spans="1:11">
      <c r="A22" s="194"/>
      <c r="B22" s="192"/>
      <c r="C22" s="192"/>
      <c r="D22" s="192"/>
      <c r="E22" s="192"/>
      <c r="F22" s="192"/>
      <c r="G22" s="192"/>
      <c r="H22" s="182"/>
      <c r="I22" s="187"/>
      <c r="J22" s="188"/>
      <c r="K22" s="189"/>
    </row>
    <row r="23" spans="1:11" s="220" customFormat="1" ht="20.399999999999999">
      <c r="A23" s="190" t="s">
        <v>271</v>
      </c>
      <c r="B23" s="181">
        <f t="shared" ref="B23:G23" si="6">SUM(B24:B29)</f>
        <v>3370</v>
      </c>
      <c r="C23" s="181">
        <f t="shared" si="6"/>
        <v>3185</v>
      </c>
      <c r="D23" s="181">
        <f t="shared" si="6"/>
        <v>34</v>
      </c>
      <c r="E23" s="181">
        <f t="shared" si="6"/>
        <v>0</v>
      </c>
      <c r="F23" s="181">
        <f t="shared" si="6"/>
        <v>4116</v>
      </c>
      <c r="G23" s="181">
        <f t="shared" si="6"/>
        <v>2473</v>
      </c>
      <c r="H23" s="169"/>
      <c r="I23" s="183">
        <f t="shared" ref="I23:I29" si="7">SUM(B23:E23)/F23</f>
        <v>1.6008260447035958</v>
      </c>
      <c r="J23" s="184">
        <f t="shared" ref="J23:J29" si="8">(G23/SUM(B23:E23))*100</f>
        <v>37.532250720898467</v>
      </c>
      <c r="K23" s="185">
        <f t="shared" si="4"/>
        <v>62.46774927910154</v>
      </c>
    </row>
    <row r="24" spans="1:11">
      <c r="A24" s="194" t="s">
        <v>100</v>
      </c>
      <c r="B24" s="192">
        <v>1757</v>
      </c>
      <c r="C24" s="192">
        <v>1313</v>
      </c>
      <c r="D24" s="192">
        <v>15</v>
      </c>
      <c r="E24" s="192">
        <v>0</v>
      </c>
      <c r="F24" s="192">
        <v>1480</v>
      </c>
      <c r="G24" s="192">
        <v>1605</v>
      </c>
      <c r="H24" s="182"/>
      <c r="I24" s="187">
        <f t="shared" si="7"/>
        <v>2.0844594594594597</v>
      </c>
      <c r="J24" s="188">
        <f t="shared" si="8"/>
        <v>52.0259319286872</v>
      </c>
      <c r="K24" s="189">
        <f t="shared" si="4"/>
        <v>47.9740680713128</v>
      </c>
    </row>
    <row r="25" spans="1:11">
      <c r="A25" s="191" t="s">
        <v>275</v>
      </c>
      <c r="B25" s="192">
        <v>127</v>
      </c>
      <c r="C25" s="192">
        <v>449</v>
      </c>
      <c r="D25" s="192">
        <v>5</v>
      </c>
      <c r="E25" s="192">
        <v>0</v>
      </c>
      <c r="F25" s="192">
        <v>404</v>
      </c>
      <c r="G25" s="192">
        <v>177</v>
      </c>
      <c r="H25" s="182"/>
      <c r="I25" s="187">
        <f t="shared" si="7"/>
        <v>1.4381188118811881</v>
      </c>
      <c r="J25" s="188">
        <f t="shared" si="8"/>
        <v>30.464716006884679</v>
      </c>
      <c r="K25" s="189">
        <f t="shared" si="4"/>
        <v>69.535283993115314</v>
      </c>
    </row>
    <row r="26" spans="1:11">
      <c r="A26" s="191" t="s">
        <v>276</v>
      </c>
      <c r="B26" s="192">
        <v>105</v>
      </c>
      <c r="C26" s="192">
        <v>319</v>
      </c>
      <c r="D26" s="192">
        <v>0</v>
      </c>
      <c r="E26" s="192">
        <v>0</v>
      </c>
      <c r="F26" s="192">
        <v>313</v>
      </c>
      <c r="G26" s="192">
        <v>111</v>
      </c>
      <c r="H26" s="182"/>
      <c r="I26" s="187">
        <f t="shared" si="7"/>
        <v>1.354632587859425</v>
      </c>
      <c r="J26" s="188">
        <f t="shared" si="8"/>
        <v>26.179245283018872</v>
      </c>
      <c r="K26" s="189">
        <f t="shared" si="4"/>
        <v>73.820754716981128</v>
      </c>
    </row>
    <row r="27" spans="1:11">
      <c r="A27" s="191" t="s">
        <v>277</v>
      </c>
      <c r="B27" s="192">
        <v>618</v>
      </c>
      <c r="C27" s="192">
        <v>451</v>
      </c>
      <c r="D27" s="192">
        <v>3</v>
      </c>
      <c r="E27" s="192">
        <v>0</v>
      </c>
      <c r="F27" s="192">
        <v>917</v>
      </c>
      <c r="G27" s="192">
        <v>155</v>
      </c>
      <c r="H27" s="182"/>
      <c r="I27" s="187">
        <f t="shared" si="7"/>
        <v>1.1690294438386042</v>
      </c>
      <c r="J27" s="188">
        <f t="shared" si="8"/>
        <v>14.458955223880595</v>
      </c>
      <c r="K27" s="189">
        <f t="shared" si="4"/>
        <v>85.541044776119406</v>
      </c>
    </row>
    <row r="28" spans="1:11">
      <c r="A28" s="191" t="s">
        <v>278</v>
      </c>
      <c r="B28" s="192">
        <v>629</v>
      </c>
      <c r="C28" s="192">
        <v>488</v>
      </c>
      <c r="D28" s="192">
        <v>10</v>
      </c>
      <c r="E28" s="192">
        <v>0</v>
      </c>
      <c r="F28" s="192">
        <v>790</v>
      </c>
      <c r="G28" s="192">
        <v>337</v>
      </c>
      <c r="H28" s="182"/>
      <c r="I28" s="187">
        <f t="shared" si="7"/>
        <v>1.4265822784810127</v>
      </c>
      <c r="J28" s="188">
        <f t="shared" si="8"/>
        <v>29.902395740905057</v>
      </c>
      <c r="K28" s="189">
        <f t="shared" si="4"/>
        <v>70.09760425909495</v>
      </c>
    </row>
    <row r="29" spans="1:11">
      <c r="A29" s="191" t="s">
        <v>279</v>
      </c>
      <c r="B29" s="192">
        <v>134</v>
      </c>
      <c r="C29" s="192">
        <v>165</v>
      </c>
      <c r="D29" s="192">
        <v>1</v>
      </c>
      <c r="E29" s="192">
        <v>0</v>
      </c>
      <c r="F29" s="192">
        <v>212</v>
      </c>
      <c r="G29" s="192">
        <v>88</v>
      </c>
      <c r="H29" s="182"/>
      <c r="I29" s="187">
        <f t="shared" si="7"/>
        <v>1.4150943396226414</v>
      </c>
      <c r="J29" s="188">
        <f t="shared" si="8"/>
        <v>29.333333333333332</v>
      </c>
      <c r="K29" s="189">
        <f t="shared" si="4"/>
        <v>70.666666666666671</v>
      </c>
    </row>
    <row r="30" spans="1:11">
      <c r="A30" s="194"/>
      <c r="B30" s="192"/>
      <c r="C30" s="192"/>
      <c r="D30" s="192"/>
      <c r="E30" s="192"/>
      <c r="F30" s="192"/>
      <c r="G30" s="192"/>
      <c r="H30" s="182"/>
      <c r="I30" s="187"/>
      <c r="J30" s="188"/>
      <c r="K30" s="189"/>
    </row>
    <row r="31" spans="1:11" s="220" customFormat="1" ht="20.399999999999999">
      <c r="A31" s="190" t="s">
        <v>280</v>
      </c>
      <c r="B31" s="181">
        <f t="shared" ref="B31:G31" si="9">SUM(B32:B36)</f>
        <v>674</v>
      </c>
      <c r="C31" s="181">
        <f t="shared" si="9"/>
        <v>2621</v>
      </c>
      <c r="D31" s="181">
        <f t="shared" si="9"/>
        <v>341</v>
      </c>
      <c r="E31" s="181">
        <f t="shared" si="9"/>
        <v>2</v>
      </c>
      <c r="F31" s="181">
        <f t="shared" si="9"/>
        <v>3132</v>
      </c>
      <c r="G31" s="181">
        <f t="shared" si="9"/>
        <v>506</v>
      </c>
      <c r="H31" s="169"/>
      <c r="I31" s="183">
        <f t="shared" ref="I31:I36" si="10">SUM(B31:E31)/F31</f>
        <v>1.161558109833972</v>
      </c>
      <c r="J31" s="184">
        <f t="shared" ref="J31:J36" si="11">(G31/SUM(B31:E31))*100</f>
        <v>13.908741066520067</v>
      </c>
      <c r="K31" s="185">
        <f t="shared" si="4"/>
        <v>86.091258933479935</v>
      </c>
    </row>
    <row r="32" spans="1:11">
      <c r="A32" s="191" t="s">
        <v>101</v>
      </c>
      <c r="B32" s="192">
        <v>217</v>
      </c>
      <c r="C32" s="192">
        <v>1855</v>
      </c>
      <c r="D32" s="192">
        <v>321</v>
      </c>
      <c r="E32" s="192">
        <v>0</v>
      </c>
      <c r="F32" s="192">
        <v>2273</v>
      </c>
      <c r="G32" s="192">
        <v>120</v>
      </c>
      <c r="H32" s="182"/>
      <c r="I32" s="187">
        <f t="shared" si="10"/>
        <v>1.0527936647602287</v>
      </c>
      <c r="J32" s="188">
        <f t="shared" si="11"/>
        <v>5.0146259924780612</v>
      </c>
      <c r="K32" s="189">
        <f t="shared" si="4"/>
        <v>94.985374007521941</v>
      </c>
    </row>
    <row r="33" spans="1:11">
      <c r="A33" s="191" t="s">
        <v>283</v>
      </c>
      <c r="B33" s="192">
        <v>50</v>
      </c>
      <c r="C33" s="192">
        <v>193</v>
      </c>
      <c r="D33" s="192">
        <v>13</v>
      </c>
      <c r="E33" s="192">
        <v>0</v>
      </c>
      <c r="F33" s="192">
        <v>202</v>
      </c>
      <c r="G33" s="192">
        <v>54</v>
      </c>
      <c r="H33" s="182"/>
      <c r="I33" s="187">
        <f t="shared" si="10"/>
        <v>1.2673267326732673</v>
      </c>
      <c r="J33" s="188">
        <f t="shared" si="11"/>
        <v>21.09375</v>
      </c>
      <c r="K33" s="189">
        <f t="shared" si="4"/>
        <v>78.90625</v>
      </c>
    </row>
    <row r="34" spans="1:11">
      <c r="A34" s="191" t="s">
        <v>284</v>
      </c>
      <c r="B34" s="192">
        <v>233</v>
      </c>
      <c r="C34" s="192">
        <v>322</v>
      </c>
      <c r="D34" s="192">
        <v>0</v>
      </c>
      <c r="E34" s="192">
        <v>0</v>
      </c>
      <c r="F34" s="192">
        <v>380</v>
      </c>
      <c r="G34" s="192">
        <v>175</v>
      </c>
      <c r="H34" s="182"/>
      <c r="I34" s="187">
        <f t="shared" si="10"/>
        <v>1.4605263157894737</v>
      </c>
      <c r="J34" s="188">
        <f t="shared" si="11"/>
        <v>31.531531531531531</v>
      </c>
      <c r="K34" s="189">
        <f t="shared" si="4"/>
        <v>68.468468468468473</v>
      </c>
    </row>
    <row r="35" spans="1:11">
      <c r="A35" s="191" t="s">
        <v>285</v>
      </c>
      <c r="B35" s="192">
        <v>44</v>
      </c>
      <c r="C35" s="192">
        <v>77</v>
      </c>
      <c r="D35" s="192">
        <v>0</v>
      </c>
      <c r="E35" s="192">
        <v>0</v>
      </c>
      <c r="F35" s="192">
        <v>75</v>
      </c>
      <c r="G35" s="192">
        <v>46</v>
      </c>
      <c r="H35" s="182"/>
      <c r="I35" s="187">
        <f t="shared" si="10"/>
        <v>1.6133333333333333</v>
      </c>
      <c r="J35" s="188">
        <f t="shared" si="11"/>
        <v>38.016528925619838</v>
      </c>
      <c r="K35" s="189">
        <f t="shared" si="4"/>
        <v>61.983471074380169</v>
      </c>
    </row>
    <row r="36" spans="1:11">
      <c r="A36" s="191" t="s">
        <v>286</v>
      </c>
      <c r="B36" s="192">
        <v>130</v>
      </c>
      <c r="C36" s="192">
        <v>174</v>
      </c>
      <c r="D36" s="192">
        <v>7</v>
      </c>
      <c r="E36" s="192">
        <v>2</v>
      </c>
      <c r="F36" s="192">
        <v>202</v>
      </c>
      <c r="G36" s="192">
        <v>111</v>
      </c>
      <c r="H36" s="182"/>
      <c r="I36" s="187">
        <f t="shared" si="10"/>
        <v>1.5495049504950495</v>
      </c>
      <c r="J36" s="188">
        <f t="shared" si="11"/>
        <v>35.463258785942493</v>
      </c>
      <c r="K36" s="189">
        <f t="shared" si="4"/>
        <v>64.5367412140575</v>
      </c>
    </row>
    <row r="37" spans="1:11">
      <c r="A37" s="194"/>
      <c r="B37" s="192"/>
      <c r="C37" s="192"/>
      <c r="D37" s="192"/>
      <c r="E37" s="192"/>
      <c r="F37" s="192"/>
      <c r="G37" s="192"/>
      <c r="H37" s="182"/>
      <c r="I37" s="187"/>
      <c r="J37" s="188"/>
      <c r="K37" s="189"/>
    </row>
    <row r="38" spans="1:11" s="220" customFormat="1" ht="20.399999999999999">
      <c r="A38" s="190" t="s">
        <v>287</v>
      </c>
      <c r="B38" s="181">
        <f t="shared" ref="B38:G38" si="12">SUM(B39:B43)</f>
        <v>1005</v>
      </c>
      <c r="C38" s="181">
        <f t="shared" si="12"/>
        <v>1771</v>
      </c>
      <c r="D38" s="181">
        <f t="shared" si="12"/>
        <v>126</v>
      </c>
      <c r="E38" s="181">
        <f t="shared" si="12"/>
        <v>1</v>
      </c>
      <c r="F38" s="181">
        <f t="shared" si="12"/>
        <v>1896</v>
      </c>
      <c r="G38" s="181">
        <f t="shared" si="12"/>
        <v>1007</v>
      </c>
      <c r="H38" s="169"/>
      <c r="I38" s="183">
        <f t="shared" ref="I38:I43" si="13">SUM(B38:E38)/F38</f>
        <v>1.5311181434599157</v>
      </c>
      <c r="J38" s="184">
        <f t="shared" ref="J38:J43" si="14">(G38/SUM(B38:E38))*100</f>
        <v>34.688253530830174</v>
      </c>
      <c r="K38" s="185">
        <f t="shared" si="4"/>
        <v>65.311746469169833</v>
      </c>
    </row>
    <row r="39" spans="1:11">
      <c r="A39" s="191" t="s">
        <v>422</v>
      </c>
      <c r="B39" s="192">
        <v>400</v>
      </c>
      <c r="C39" s="192">
        <v>638</v>
      </c>
      <c r="D39" s="192">
        <v>46</v>
      </c>
      <c r="E39" s="192">
        <v>1</v>
      </c>
      <c r="F39" s="192">
        <v>634</v>
      </c>
      <c r="G39" s="192">
        <v>451</v>
      </c>
      <c r="H39" s="182"/>
      <c r="I39" s="187">
        <f t="shared" si="13"/>
        <v>1.7113564668769716</v>
      </c>
      <c r="J39" s="188">
        <f t="shared" si="14"/>
        <v>41.566820276497694</v>
      </c>
      <c r="K39" s="189">
        <f t="shared" si="4"/>
        <v>58.433179723502306</v>
      </c>
    </row>
    <row r="40" spans="1:11">
      <c r="A40" s="191" t="s">
        <v>290</v>
      </c>
      <c r="B40" s="192">
        <v>233</v>
      </c>
      <c r="C40" s="192">
        <v>411</v>
      </c>
      <c r="D40" s="192">
        <v>22</v>
      </c>
      <c r="E40" s="192">
        <v>0</v>
      </c>
      <c r="F40" s="192">
        <v>484</v>
      </c>
      <c r="G40" s="192">
        <v>182</v>
      </c>
      <c r="H40" s="182"/>
      <c r="I40" s="187">
        <f t="shared" si="13"/>
        <v>1.3760330578512396</v>
      </c>
      <c r="J40" s="188">
        <f t="shared" si="14"/>
        <v>27.327327327327328</v>
      </c>
      <c r="K40" s="189">
        <f t="shared" si="4"/>
        <v>72.672672672672675</v>
      </c>
    </row>
    <row r="41" spans="1:11">
      <c r="A41" s="191" t="s">
        <v>424</v>
      </c>
      <c r="B41" s="192">
        <v>151</v>
      </c>
      <c r="C41" s="192">
        <v>248</v>
      </c>
      <c r="D41" s="192">
        <v>30</v>
      </c>
      <c r="E41" s="192">
        <v>0</v>
      </c>
      <c r="F41" s="192">
        <v>281</v>
      </c>
      <c r="G41" s="192">
        <v>148</v>
      </c>
      <c r="H41" s="182"/>
      <c r="I41" s="187">
        <f t="shared" si="13"/>
        <v>1.5266903914590748</v>
      </c>
      <c r="J41" s="188">
        <f t="shared" si="14"/>
        <v>34.498834498834498</v>
      </c>
      <c r="K41" s="189">
        <f t="shared" si="4"/>
        <v>65.501165501165502</v>
      </c>
    </row>
    <row r="42" spans="1:11">
      <c r="A42" s="191" t="s">
        <v>292</v>
      </c>
      <c r="B42" s="192">
        <v>28</v>
      </c>
      <c r="C42" s="192">
        <v>177</v>
      </c>
      <c r="D42" s="192">
        <v>3</v>
      </c>
      <c r="E42" s="192">
        <v>0</v>
      </c>
      <c r="F42" s="192">
        <v>159</v>
      </c>
      <c r="G42" s="192">
        <v>49</v>
      </c>
      <c r="H42" s="182"/>
      <c r="I42" s="187">
        <f t="shared" si="13"/>
        <v>1.3081761006289307</v>
      </c>
      <c r="J42" s="188">
        <f t="shared" si="14"/>
        <v>23.557692307692307</v>
      </c>
      <c r="K42" s="189">
        <f t="shared" si="4"/>
        <v>76.442307692307693</v>
      </c>
    </row>
    <row r="43" spans="1:11">
      <c r="A43" s="191" t="s">
        <v>293</v>
      </c>
      <c r="B43" s="192">
        <v>193</v>
      </c>
      <c r="C43" s="192">
        <v>297</v>
      </c>
      <c r="D43" s="192">
        <v>25</v>
      </c>
      <c r="E43" s="192">
        <v>0</v>
      </c>
      <c r="F43" s="192">
        <v>338</v>
      </c>
      <c r="G43" s="192">
        <v>177</v>
      </c>
      <c r="H43" s="182"/>
      <c r="I43" s="187">
        <f t="shared" si="13"/>
        <v>1.5236686390532543</v>
      </c>
      <c r="J43" s="188">
        <f t="shared" si="14"/>
        <v>34.368932038834956</v>
      </c>
      <c r="K43" s="189">
        <f t="shared" si="4"/>
        <v>65.631067961165044</v>
      </c>
    </row>
    <row r="44" spans="1:11">
      <c r="A44" s="194"/>
      <c r="B44" s="192"/>
      <c r="C44" s="192"/>
      <c r="D44" s="192"/>
      <c r="E44" s="192"/>
      <c r="F44" s="192"/>
      <c r="G44" s="192"/>
      <c r="H44" s="182"/>
      <c r="I44" s="187"/>
      <c r="J44" s="188"/>
      <c r="K44" s="189"/>
    </row>
    <row r="45" spans="1:11" s="220" customFormat="1" ht="20.399999999999999">
      <c r="A45" s="190" t="s">
        <v>294</v>
      </c>
      <c r="B45" s="181">
        <f t="shared" ref="B45:G45" si="15">SUM(B46:B51)</f>
        <v>777</v>
      </c>
      <c r="C45" s="181">
        <f t="shared" si="15"/>
        <v>1941</v>
      </c>
      <c r="D45" s="181">
        <f t="shared" si="15"/>
        <v>264</v>
      </c>
      <c r="E45" s="181">
        <f t="shared" si="15"/>
        <v>3</v>
      </c>
      <c r="F45" s="181">
        <f t="shared" si="15"/>
        <v>2146</v>
      </c>
      <c r="G45" s="181">
        <f t="shared" si="15"/>
        <v>839</v>
      </c>
      <c r="H45" s="169"/>
      <c r="I45" s="183">
        <f t="shared" ref="I45:I51" si="16">SUM(B45:E45)/F45</f>
        <v>1.3909599254426841</v>
      </c>
      <c r="J45" s="184">
        <f t="shared" ref="J45:J51" si="17">(G45/SUM(B45:E45))*100</f>
        <v>28.107202680067001</v>
      </c>
      <c r="K45" s="185">
        <f t="shared" si="4"/>
        <v>71.892797319932995</v>
      </c>
    </row>
    <row r="46" spans="1:11">
      <c r="A46" s="191" t="s">
        <v>132</v>
      </c>
      <c r="B46" s="192">
        <v>257</v>
      </c>
      <c r="C46" s="192">
        <v>576</v>
      </c>
      <c r="D46" s="192">
        <v>229</v>
      </c>
      <c r="E46" s="192">
        <v>0</v>
      </c>
      <c r="F46" s="192">
        <v>789</v>
      </c>
      <c r="G46" s="192">
        <v>273</v>
      </c>
      <c r="H46" s="182"/>
      <c r="I46" s="187">
        <f t="shared" si="16"/>
        <v>1.3460076045627376</v>
      </c>
      <c r="J46" s="188">
        <f t="shared" si="17"/>
        <v>25.70621468926554</v>
      </c>
      <c r="K46" s="189">
        <f t="shared" si="4"/>
        <v>74.293785310734464</v>
      </c>
    </row>
    <row r="47" spans="1:11">
      <c r="A47" s="191" t="s">
        <v>102</v>
      </c>
      <c r="B47" s="192">
        <v>84</v>
      </c>
      <c r="C47" s="192">
        <v>406</v>
      </c>
      <c r="D47" s="192">
        <v>4</v>
      </c>
      <c r="E47" s="192">
        <v>0</v>
      </c>
      <c r="F47" s="192">
        <v>389</v>
      </c>
      <c r="G47" s="192">
        <v>105</v>
      </c>
      <c r="H47" s="166"/>
      <c r="I47" s="187">
        <f t="shared" si="16"/>
        <v>1.2699228791773778</v>
      </c>
      <c r="J47" s="188">
        <f t="shared" si="17"/>
        <v>21.25506072874494</v>
      </c>
      <c r="K47" s="189">
        <f t="shared" si="4"/>
        <v>78.744939271255063</v>
      </c>
    </row>
    <row r="48" spans="1:11">
      <c r="A48" s="191" t="s">
        <v>899</v>
      </c>
      <c r="B48" s="192">
        <v>19</v>
      </c>
      <c r="C48" s="192">
        <v>99</v>
      </c>
      <c r="D48" s="192">
        <v>2</v>
      </c>
      <c r="E48" s="192">
        <v>1</v>
      </c>
      <c r="F48" s="192">
        <v>74</v>
      </c>
      <c r="G48" s="192">
        <v>47</v>
      </c>
      <c r="H48" s="166"/>
      <c r="I48" s="187">
        <f t="shared" si="16"/>
        <v>1.6351351351351351</v>
      </c>
      <c r="J48" s="188">
        <f t="shared" si="17"/>
        <v>38.84297520661157</v>
      </c>
      <c r="K48" s="189">
        <f t="shared" si="4"/>
        <v>61.157024793388423</v>
      </c>
    </row>
    <row r="49" spans="1:11">
      <c r="A49" s="191" t="s">
        <v>960</v>
      </c>
      <c r="B49" s="192">
        <v>63</v>
      </c>
      <c r="C49" s="192">
        <v>181</v>
      </c>
      <c r="D49" s="192">
        <v>22</v>
      </c>
      <c r="E49" s="192">
        <v>2</v>
      </c>
      <c r="F49" s="192">
        <v>198</v>
      </c>
      <c r="G49" s="192">
        <v>70</v>
      </c>
      <c r="H49" s="166"/>
      <c r="I49" s="187">
        <f t="shared" si="16"/>
        <v>1.3535353535353536</v>
      </c>
      <c r="J49" s="188">
        <f t="shared" si="17"/>
        <v>26.119402985074625</v>
      </c>
      <c r="K49" s="189">
        <f t="shared" si="4"/>
        <v>73.880597014925371</v>
      </c>
    </row>
    <row r="50" spans="1:11">
      <c r="A50" s="191" t="s">
        <v>301</v>
      </c>
      <c r="B50" s="192">
        <v>273</v>
      </c>
      <c r="C50" s="192">
        <v>416</v>
      </c>
      <c r="D50" s="192">
        <v>1</v>
      </c>
      <c r="E50" s="192">
        <v>0</v>
      </c>
      <c r="F50" s="192">
        <v>426</v>
      </c>
      <c r="G50" s="192">
        <v>264</v>
      </c>
      <c r="H50" s="166"/>
      <c r="I50" s="187">
        <f t="shared" si="16"/>
        <v>1.619718309859155</v>
      </c>
      <c r="J50" s="188">
        <f t="shared" si="17"/>
        <v>38.260869565217391</v>
      </c>
      <c r="K50" s="189">
        <f t="shared" si="4"/>
        <v>61.739130434782609</v>
      </c>
    </row>
    <row r="51" spans="1:11">
      <c r="A51" s="191" t="s">
        <v>302</v>
      </c>
      <c r="B51" s="192">
        <v>81</v>
      </c>
      <c r="C51" s="192">
        <v>263</v>
      </c>
      <c r="D51" s="192">
        <v>6</v>
      </c>
      <c r="E51" s="192">
        <v>0</v>
      </c>
      <c r="F51" s="192">
        <v>270</v>
      </c>
      <c r="G51" s="192">
        <v>80</v>
      </c>
      <c r="H51" s="166"/>
      <c r="I51" s="187">
        <f t="shared" si="16"/>
        <v>1.2962962962962963</v>
      </c>
      <c r="J51" s="188">
        <f t="shared" si="17"/>
        <v>22.857142857142858</v>
      </c>
      <c r="K51" s="189">
        <f t="shared" si="4"/>
        <v>77.142857142857153</v>
      </c>
    </row>
    <row r="52" spans="1:11">
      <c r="A52" s="195"/>
      <c r="B52" s="192"/>
      <c r="C52" s="192"/>
      <c r="D52" s="192"/>
      <c r="E52" s="192"/>
      <c r="F52" s="192"/>
      <c r="G52" s="192"/>
      <c r="H52" s="166"/>
      <c r="I52" s="187"/>
      <c r="J52" s="188"/>
      <c r="K52" s="189"/>
    </row>
    <row r="53" spans="1:11" s="220" customFormat="1" ht="20.399999999999999">
      <c r="A53" s="190" t="s">
        <v>303</v>
      </c>
      <c r="B53" s="181">
        <f t="shared" ref="B53:G53" si="18">SUM(B54:B60)</f>
        <v>1437</v>
      </c>
      <c r="C53" s="181">
        <f t="shared" si="18"/>
        <v>4271</v>
      </c>
      <c r="D53" s="181">
        <f t="shared" si="18"/>
        <v>155</v>
      </c>
      <c r="E53" s="181">
        <f t="shared" si="18"/>
        <v>60</v>
      </c>
      <c r="F53" s="181">
        <f t="shared" si="18"/>
        <v>4582</v>
      </c>
      <c r="G53" s="181">
        <f t="shared" si="18"/>
        <v>1341</v>
      </c>
      <c r="H53" s="401"/>
      <c r="I53" s="183">
        <f t="shared" ref="I53:I60" si="19">SUM(B53:E53)/F53</f>
        <v>1.2926669576604104</v>
      </c>
      <c r="J53" s="184">
        <f t="shared" ref="J53:J60" si="20">(G53/SUM(B53:E53))*100</f>
        <v>22.64055377342563</v>
      </c>
      <c r="K53" s="185">
        <f t="shared" si="4"/>
        <v>77.359446226574363</v>
      </c>
    </row>
    <row r="54" spans="1:11">
      <c r="A54" s="194" t="s">
        <v>103</v>
      </c>
      <c r="B54" s="192">
        <v>444</v>
      </c>
      <c r="C54" s="192">
        <v>1718</v>
      </c>
      <c r="D54" s="192">
        <v>82</v>
      </c>
      <c r="E54" s="192">
        <v>52</v>
      </c>
      <c r="F54" s="192">
        <v>1901</v>
      </c>
      <c r="G54" s="192">
        <v>395</v>
      </c>
      <c r="H54" s="166"/>
      <c r="I54" s="187">
        <f t="shared" si="19"/>
        <v>1.2077853761178328</v>
      </c>
      <c r="J54" s="188">
        <f t="shared" si="20"/>
        <v>17.203832752613241</v>
      </c>
      <c r="K54" s="189">
        <f t="shared" si="4"/>
        <v>82.796167247386762</v>
      </c>
    </row>
    <row r="55" spans="1:11">
      <c r="A55" s="191" t="s">
        <v>307</v>
      </c>
      <c r="B55" s="192">
        <v>249</v>
      </c>
      <c r="C55" s="192">
        <v>828</v>
      </c>
      <c r="D55" s="192">
        <v>42</v>
      </c>
      <c r="E55" s="192">
        <v>3</v>
      </c>
      <c r="F55" s="192">
        <v>799</v>
      </c>
      <c r="G55" s="192">
        <v>323</v>
      </c>
      <c r="H55" s="166"/>
      <c r="I55" s="187">
        <f t="shared" si="19"/>
        <v>1.4042553191489362</v>
      </c>
      <c r="J55" s="188">
        <f t="shared" si="20"/>
        <v>28.787878787878789</v>
      </c>
      <c r="K55" s="189">
        <f t="shared" si="4"/>
        <v>71.212121212121218</v>
      </c>
    </row>
    <row r="56" spans="1:11">
      <c r="A56" s="191" t="s">
        <v>308</v>
      </c>
      <c r="B56" s="192">
        <v>320</v>
      </c>
      <c r="C56" s="192">
        <v>444</v>
      </c>
      <c r="D56" s="192">
        <v>18</v>
      </c>
      <c r="E56" s="192">
        <v>2</v>
      </c>
      <c r="F56" s="192">
        <v>520</v>
      </c>
      <c r="G56" s="192">
        <v>264</v>
      </c>
      <c r="H56" s="166"/>
      <c r="I56" s="187">
        <f t="shared" si="19"/>
        <v>1.5076923076923077</v>
      </c>
      <c r="J56" s="188">
        <f t="shared" si="20"/>
        <v>33.673469387755098</v>
      </c>
      <c r="K56" s="189">
        <f t="shared" si="4"/>
        <v>66.326530612244895</v>
      </c>
    </row>
    <row r="57" spans="1:11">
      <c r="A57" s="191" t="s">
        <v>309</v>
      </c>
      <c r="B57" s="192">
        <v>12</v>
      </c>
      <c r="C57" s="192">
        <v>87</v>
      </c>
      <c r="D57" s="192">
        <v>1</v>
      </c>
      <c r="E57" s="192">
        <v>0</v>
      </c>
      <c r="F57" s="192">
        <v>87</v>
      </c>
      <c r="G57" s="192">
        <v>13</v>
      </c>
      <c r="H57" s="166"/>
      <c r="I57" s="187">
        <f t="shared" si="19"/>
        <v>1.1494252873563218</v>
      </c>
      <c r="J57" s="188">
        <f t="shared" si="20"/>
        <v>13</v>
      </c>
      <c r="K57" s="189">
        <f t="shared" si="4"/>
        <v>87</v>
      </c>
    </row>
    <row r="58" spans="1:11">
      <c r="A58" s="191" t="s">
        <v>310</v>
      </c>
      <c r="B58" s="192">
        <v>295</v>
      </c>
      <c r="C58" s="192">
        <v>657</v>
      </c>
      <c r="D58" s="192">
        <v>2</v>
      </c>
      <c r="E58" s="192">
        <v>0</v>
      </c>
      <c r="F58" s="192">
        <v>726</v>
      </c>
      <c r="G58" s="192">
        <v>228</v>
      </c>
      <c r="H58" s="166"/>
      <c r="I58" s="187">
        <f t="shared" si="19"/>
        <v>1.3140495867768596</v>
      </c>
      <c r="J58" s="188">
        <f t="shared" si="20"/>
        <v>23.89937106918239</v>
      </c>
      <c r="K58" s="189">
        <f t="shared" si="4"/>
        <v>76.100628930817621</v>
      </c>
    </row>
    <row r="59" spans="1:11">
      <c r="A59" s="191" t="s">
        <v>311</v>
      </c>
      <c r="B59" s="192">
        <v>64</v>
      </c>
      <c r="C59" s="192">
        <v>191</v>
      </c>
      <c r="D59" s="192">
        <v>9</v>
      </c>
      <c r="E59" s="192">
        <v>2</v>
      </c>
      <c r="F59" s="192">
        <v>199</v>
      </c>
      <c r="G59" s="192">
        <v>67</v>
      </c>
      <c r="H59" s="166"/>
      <c r="I59" s="187">
        <f t="shared" si="19"/>
        <v>1.3366834170854272</v>
      </c>
      <c r="J59" s="188">
        <f t="shared" si="20"/>
        <v>25.18796992481203</v>
      </c>
      <c r="K59" s="189">
        <f t="shared" si="4"/>
        <v>74.812030075187977</v>
      </c>
    </row>
    <row r="60" spans="1:11">
      <c r="A60" s="191" t="s">
        <v>312</v>
      </c>
      <c r="B60" s="192">
        <v>53</v>
      </c>
      <c r="C60" s="192">
        <v>346</v>
      </c>
      <c r="D60" s="192">
        <v>1</v>
      </c>
      <c r="E60" s="192">
        <v>1</v>
      </c>
      <c r="F60" s="192">
        <v>350</v>
      </c>
      <c r="G60" s="192">
        <v>51</v>
      </c>
      <c r="H60" s="166"/>
      <c r="I60" s="187">
        <f t="shared" si="19"/>
        <v>1.1457142857142857</v>
      </c>
      <c r="J60" s="188">
        <f t="shared" si="20"/>
        <v>12.718204488778055</v>
      </c>
      <c r="K60" s="189">
        <f t="shared" si="4"/>
        <v>87.281795511221944</v>
      </c>
    </row>
    <row r="61" spans="1:11">
      <c r="A61" s="194"/>
      <c r="B61" s="192"/>
      <c r="C61" s="192"/>
      <c r="D61" s="192"/>
      <c r="E61" s="192"/>
      <c r="F61" s="192"/>
      <c r="G61" s="192"/>
      <c r="H61" s="166"/>
      <c r="I61" s="187"/>
      <c r="J61" s="188"/>
      <c r="K61" s="189"/>
    </row>
    <row r="62" spans="1:11" s="220" customFormat="1" ht="20.399999999999999">
      <c r="A62" s="190" t="s">
        <v>812</v>
      </c>
      <c r="B62" s="181">
        <f t="shared" ref="B62:G62" si="21">SUM(B63:B68)</f>
        <v>1335</v>
      </c>
      <c r="C62" s="181">
        <f t="shared" si="21"/>
        <v>3137</v>
      </c>
      <c r="D62" s="181">
        <f t="shared" si="21"/>
        <v>69</v>
      </c>
      <c r="E62" s="181">
        <f t="shared" si="21"/>
        <v>15</v>
      </c>
      <c r="F62" s="181">
        <f t="shared" si="21"/>
        <v>3419</v>
      </c>
      <c r="G62" s="181">
        <f t="shared" si="21"/>
        <v>1137</v>
      </c>
      <c r="H62" s="401"/>
      <c r="I62" s="183">
        <f t="shared" ref="I62:I68" si="22">SUM(B62:E62)/F62</f>
        <v>1.3325533781807546</v>
      </c>
      <c r="J62" s="184">
        <f t="shared" ref="J62:J68" si="23">(G62/SUM(B62:E62))*100</f>
        <v>24.956101843722564</v>
      </c>
      <c r="K62" s="185">
        <f t="shared" si="4"/>
        <v>75.043898156277436</v>
      </c>
    </row>
    <row r="63" spans="1:11">
      <c r="A63" s="194" t="s">
        <v>104</v>
      </c>
      <c r="B63" s="192">
        <v>491</v>
      </c>
      <c r="C63" s="192">
        <v>1375</v>
      </c>
      <c r="D63" s="192">
        <v>24</v>
      </c>
      <c r="E63" s="192">
        <v>10</v>
      </c>
      <c r="F63" s="192">
        <v>1285</v>
      </c>
      <c r="G63" s="192">
        <v>615</v>
      </c>
      <c r="H63" s="166"/>
      <c r="I63" s="187">
        <f t="shared" si="22"/>
        <v>1.4785992217898833</v>
      </c>
      <c r="J63" s="188">
        <f t="shared" si="23"/>
        <v>32.368421052631582</v>
      </c>
      <c r="K63" s="189">
        <f t="shared" si="4"/>
        <v>67.631578947368425</v>
      </c>
    </row>
    <row r="64" spans="1:11">
      <c r="A64" s="191" t="s">
        <v>815</v>
      </c>
      <c r="B64" s="192">
        <v>65</v>
      </c>
      <c r="C64" s="192">
        <v>200</v>
      </c>
      <c r="D64" s="192">
        <v>3</v>
      </c>
      <c r="E64" s="192">
        <v>0</v>
      </c>
      <c r="F64" s="192">
        <v>223</v>
      </c>
      <c r="G64" s="192">
        <v>45</v>
      </c>
      <c r="H64" s="166"/>
      <c r="I64" s="187">
        <f t="shared" si="22"/>
        <v>1.2017937219730941</v>
      </c>
      <c r="J64" s="188">
        <f t="shared" si="23"/>
        <v>16.791044776119403</v>
      </c>
      <c r="K64" s="189">
        <f t="shared" si="4"/>
        <v>83.208955223880594</v>
      </c>
    </row>
    <row r="65" spans="1:11">
      <c r="A65" s="191" t="s">
        <v>816</v>
      </c>
      <c r="B65" s="192">
        <v>465</v>
      </c>
      <c r="C65" s="192">
        <v>405</v>
      </c>
      <c r="D65" s="192">
        <v>2</v>
      </c>
      <c r="E65" s="192">
        <v>0</v>
      </c>
      <c r="F65" s="192">
        <v>722</v>
      </c>
      <c r="G65" s="192">
        <v>150</v>
      </c>
      <c r="H65" s="166"/>
      <c r="I65" s="187">
        <f t="shared" si="22"/>
        <v>1.2077562326869806</v>
      </c>
      <c r="J65" s="188">
        <f t="shared" si="23"/>
        <v>17.201834862385322</v>
      </c>
      <c r="K65" s="189">
        <f t="shared" si="4"/>
        <v>82.798165137614674</v>
      </c>
    </row>
    <row r="66" spans="1:11">
      <c r="A66" s="191" t="s">
        <v>817</v>
      </c>
      <c r="B66" s="192">
        <v>86</v>
      </c>
      <c r="C66" s="192">
        <v>121</v>
      </c>
      <c r="D66" s="192">
        <v>0</v>
      </c>
      <c r="E66" s="192">
        <v>0</v>
      </c>
      <c r="F66" s="192">
        <v>146</v>
      </c>
      <c r="G66" s="192">
        <v>61</v>
      </c>
      <c r="H66" s="166"/>
      <c r="I66" s="187">
        <f t="shared" si="22"/>
        <v>1.4178082191780821</v>
      </c>
      <c r="J66" s="188">
        <f t="shared" si="23"/>
        <v>29.468599033816425</v>
      </c>
      <c r="K66" s="189">
        <f t="shared" si="4"/>
        <v>70.531400966183583</v>
      </c>
    </row>
    <row r="67" spans="1:11">
      <c r="A67" s="191" t="s">
        <v>818</v>
      </c>
      <c r="B67" s="192">
        <v>28</v>
      </c>
      <c r="C67" s="192">
        <v>494</v>
      </c>
      <c r="D67" s="192">
        <v>18</v>
      </c>
      <c r="E67" s="192">
        <v>0</v>
      </c>
      <c r="F67" s="192">
        <v>483</v>
      </c>
      <c r="G67" s="192">
        <v>57</v>
      </c>
      <c r="H67" s="166"/>
      <c r="I67" s="187">
        <f t="shared" si="22"/>
        <v>1.1180124223602483</v>
      </c>
      <c r="J67" s="188">
        <f t="shared" si="23"/>
        <v>10.555555555555555</v>
      </c>
      <c r="K67" s="189">
        <f t="shared" si="4"/>
        <v>89.444444444444443</v>
      </c>
    </row>
    <row r="68" spans="1:11">
      <c r="A68" s="191" t="s">
        <v>819</v>
      </c>
      <c r="B68" s="192">
        <v>200</v>
      </c>
      <c r="C68" s="192">
        <v>542</v>
      </c>
      <c r="D68" s="192">
        <v>22</v>
      </c>
      <c r="E68" s="192">
        <v>5</v>
      </c>
      <c r="F68" s="192">
        <v>560</v>
      </c>
      <c r="G68" s="192">
        <v>209</v>
      </c>
      <c r="H68" s="166"/>
      <c r="I68" s="187">
        <f t="shared" si="22"/>
        <v>1.3732142857142857</v>
      </c>
      <c r="J68" s="188">
        <f t="shared" si="23"/>
        <v>27.178153446033811</v>
      </c>
      <c r="K68" s="189">
        <f t="shared" si="4"/>
        <v>72.821846553966182</v>
      </c>
    </row>
    <row r="69" spans="1:11">
      <c r="A69" s="194"/>
      <c r="B69" s="192"/>
      <c r="C69" s="192"/>
      <c r="D69" s="192"/>
      <c r="E69" s="192"/>
      <c r="F69" s="192"/>
      <c r="G69" s="192"/>
      <c r="H69" s="166"/>
      <c r="I69" s="187"/>
      <c r="J69" s="188"/>
      <c r="K69" s="189"/>
    </row>
    <row r="70" spans="1:11" s="220" customFormat="1" ht="20.399999999999999">
      <c r="A70" s="190" t="s">
        <v>820</v>
      </c>
      <c r="B70" s="181">
        <f t="shared" ref="B70:G70" si="24">SUM(B71:B76)</f>
        <v>1091</v>
      </c>
      <c r="C70" s="181">
        <f t="shared" si="24"/>
        <v>1986</v>
      </c>
      <c r="D70" s="181">
        <f t="shared" si="24"/>
        <v>40</v>
      </c>
      <c r="E70" s="181">
        <f t="shared" si="24"/>
        <v>0</v>
      </c>
      <c r="F70" s="181">
        <f t="shared" si="24"/>
        <v>1911</v>
      </c>
      <c r="G70" s="181">
        <f t="shared" si="24"/>
        <v>1206</v>
      </c>
      <c r="H70" s="401"/>
      <c r="I70" s="183">
        <f t="shared" ref="I70:I76" si="25">SUM(B70:E70)/F70</f>
        <v>1.6310832025117739</v>
      </c>
      <c r="J70" s="184">
        <f t="shared" ref="J70:J76" si="26">(G70/SUM(B70:E70))*100</f>
        <v>38.691049085659287</v>
      </c>
      <c r="K70" s="185">
        <f t="shared" si="4"/>
        <v>61.308950914340713</v>
      </c>
    </row>
    <row r="71" spans="1:11">
      <c r="A71" s="191" t="s">
        <v>105</v>
      </c>
      <c r="B71" s="192">
        <v>464</v>
      </c>
      <c r="C71" s="192">
        <v>636</v>
      </c>
      <c r="D71" s="192">
        <v>9</v>
      </c>
      <c r="E71" s="192">
        <v>0</v>
      </c>
      <c r="F71" s="192">
        <v>509</v>
      </c>
      <c r="G71" s="192">
        <v>600</v>
      </c>
      <c r="H71" s="166"/>
      <c r="I71" s="187">
        <f t="shared" si="25"/>
        <v>2.1787819253438112</v>
      </c>
      <c r="J71" s="188">
        <f t="shared" si="26"/>
        <v>54.102795311091064</v>
      </c>
      <c r="K71" s="189">
        <f t="shared" si="4"/>
        <v>45.897204688908928</v>
      </c>
    </row>
    <row r="72" spans="1:11">
      <c r="A72" s="191" t="s">
        <v>824</v>
      </c>
      <c r="B72" s="192">
        <v>156</v>
      </c>
      <c r="C72" s="192">
        <v>320</v>
      </c>
      <c r="D72" s="192">
        <v>12</v>
      </c>
      <c r="E72" s="192">
        <v>0</v>
      </c>
      <c r="F72" s="192">
        <v>393</v>
      </c>
      <c r="G72" s="192">
        <v>95</v>
      </c>
      <c r="H72" s="166"/>
      <c r="I72" s="187">
        <f t="shared" si="25"/>
        <v>1.2417302798982188</v>
      </c>
      <c r="J72" s="188">
        <f t="shared" si="26"/>
        <v>19.467213114754099</v>
      </c>
      <c r="K72" s="189">
        <f t="shared" si="4"/>
        <v>80.532786885245898</v>
      </c>
    </row>
    <row r="73" spans="1:11">
      <c r="A73" s="191" t="s">
        <v>825</v>
      </c>
      <c r="B73" s="192">
        <v>186</v>
      </c>
      <c r="C73" s="192">
        <v>343</v>
      </c>
      <c r="D73" s="192">
        <v>10</v>
      </c>
      <c r="E73" s="192">
        <v>0</v>
      </c>
      <c r="F73" s="192">
        <v>359</v>
      </c>
      <c r="G73" s="192">
        <v>180</v>
      </c>
      <c r="H73" s="166"/>
      <c r="I73" s="187">
        <f t="shared" si="25"/>
        <v>1.5013927576601671</v>
      </c>
      <c r="J73" s="188">
        <f t="shared" si="26"/>
        <v>33.395176252319111</v>
      </c>
      <c r="K73" s="189">
        <f t="shared" si="4"/>
        <v>66.604823747680882</v>
      </c>
    </row>
    <row r="74" spans="1:11">
      <c r="A74" s="191" t="s">
        <v>826</v>
      </c>
      <c r="B74" s="192">
        <v>100</v>
      </c>
      <c r="C74" s="192">
        <v>319</v>
      </c>
      <c r="D74" s="192">
        <v>4</v>
      </c>
      <c r="E74" s="192">
        <v>0</v>
      </c>
      <c r="F74" s="192">
        <v>314</v>
      </c>
      <c r="G74" s="192">
        <v>109</v>
      </c>
      <c r="H74" s="166"/>
      <c r="I74" s="187">
        <f t="shared" si="25"/>
        <v>1.3471337579617835</v>
      </c>
      <c r="J74" s="188">
        <f t="shared" si="26"/>
        <v>25.768321513002363</v>
      </c>
      <c r="K74" s="189">
        <f t="shared" si="4"/>
        <v>74.231678486997637</v>
      </c>
    </row>
    <row r="75" spans="1:11">
      <c r="A75" s="191" t="s">
        <v>827</v>
      </c>
      <c r="B75" s="192">
        <v>24</v>
      </c>
      <c r="C75" s="192">
        <v>199</v>
      </c>
      <c r="D75" s="192">
        <v>3</v>
      </c>
      <c r="E75" s="192">
        <v>0</v>
      </c>
      <c r="F75" s="192">
        <v>171</v>
      </c>
      <c r="G75" s="192">
        <v>55</v>
      </c>
      <c r="H75" s="166"/>
      <c r="I75" s="187">
        <f t="shared" si="25"/>
        <v>1.3216374269005848</v>
      </c>
      <c r="J75" s="188">
        <f t="shared" si="26"/>
        <v>24.336283185840706</v>
      </c>
      <c r="K75" s="189">
        <f t="shared" ref="K75:K115" si="27">(F75/SUM(B75:E75))*100</f>
        <v>75.663716814159287</v>
      </c>
    </row>
    <row r="76" spans="1:11">
      <c r="A76" s="191" t="s">
        <v>828</v>
      </c>
      <c r="B76" s="192">
        <v>161</v>
      </c>
      <c r="C76" s="192">
        <v>169</v>
      </c>
      <c r="D76" s="192">
        <v>2</v>
      </c>
      <c r="E76" s="192">
        <v>0</v>
      </c>
      <c r="F76" s="192">
        <v>165</v>
      </c>
      <c r="G76" s="192">
        <v>167</v>
      </c>
      <c r="H76" s="166"/>
      <c r="I76" s="187">
        <f t="shared" si="25"/>
        <v>2.0121212121212122</v>
      </c>
      <c r="J76" s="188">
        <f t="shared" si="26"/>
        <v>50.30120481927711</v>
      </c>
      <c r="K76" s="189">
        <f t="shared" si="27"/>
        <v>49.698795180722897</v>
      </c>
    </row>
    <row r="77" spans="1:11">
      <c r="A77" s="194"/>
      <c r="B77" s="192"/>
      <c r="C77" s="192"/>
      <c r="D77" s="192"/>
      <c r="E77" s="192"/>
      <c r="F77" s="192"/>
      <c r="G77" s="192"/>
      <c r="H77" s="166"/>
      <c r="I77" s="187"/>
      <c r="J77" s="188"/>
      <c r="K77" s="189"/>
    </row>
    <row r="78" spans="1:11" s="220" customFormat="1">
      <c r="A78" s="190" t="s">
        <v>829</v>
      </c>
      <c r="B78" s="181">
        <f t="shared" ref="B78:G78" si="28">SUM(B79:B84)</f>
        <v>1613</v>
      </c>
      <c r="C78" s="181">
        <f t="shared" si="28"/>
        <v>2133</v>
      </c>
      <c r="D78" s="181">
        <f t="shared" si="28"/>
        <v>461</v>
      </c>
      <c r="E78" s="181">
        <f t="shared" si="28"/>
        <v>0</v>
      </c>
      <c r="F78" s="181">
        <f t="shared" si="28"/>
        <v>3130</v>
      </c>
      <c r="G78" s="181">
        <f t="shared" si="28"/>
        <v>1077</v>
      </c>
      <c r="H78" s="166"/>
      <c r="I78" s="183">
        <f t="shared" ref="I78:I84" si="29">SUM(B78:E78)/F78</f>
        <v>1.3440894568690096</v>
      </c>
      <c r="J78" s="184">
        <f t="shared" ref="J78:J84" si="30">(G78/SUM(B78:E78))*100</f>
        <v>25.600190159258378</v>
      </c>
      <c r="K78" s="185">
        <f t="shared" si="27"/>
        <v>74.399809840741625</v>
      </c>
    </row>
    <row r="79" spans="1:11">
      <c r="A79" s="191" t="s">
        <v>106</v>
      </c>
      <c r="B79" s="192">
        <v>576</v>
      </c>
      <c r="C79" s="192">
        <v>650</v>
      </c>
      <c r="D79" s="192">
        <v>152</v>
      </c>
      <c r="E79" s="192">
        <v>0</v>
      </c>
      <c r="F79" s="192">
        <v>1107</v>
      </c>
      <c r="G79" s="192">
        <v>271</v>
      </c>
      <c r="H79" s="166"/>
      <c r="I79" s="187">
        <f t="shared" si="29"/>
        <v>1.2448057813911473</v>
      </c>
      <c r="J79" s="188">
        <f t="shared" si="30"/>
        <v>19.666182873730044</v>
      </c>
      <c r="K79" s="189">
        <f t="shared" si="27"/>
        <v>80.333817126269963</v>
      </c>
    </row>
    <row r="80" spans="1:11">
      <c r="A80" s="191" t="s">
        <v>107</v>
      </c>
      <c r="B80" s="192">
        <v>716</v>
      </c>
      <c r="C80" s="192">
        <v>755</v>
      </c>
      <c r="D80" s="192">
        <v>261</v>
      </c>
      <c r="E80" s="192">
        <v>0</v>
      </c>
      <c r="F80" s="192">
        <v>1218</v>
      </c>
      <c r="G80" s="192">
        <v>514</v>
      </c>
      <c r="H80" s="166"/>
      <c r="I80" s="187">
        <f t="shared" si="29"/>
        <v>1.4220032840722496</v>
      </c>
      <c r="J80" s="188">
        <f t="shared" si="30"/>
        <v>29.676674364896073</v>
      </c>
      <c r="K80" s="189">
        <f t="shared" si="27"/>
        <v>70.323325635103927</v>
      </c>
    </row>
    <row r="81" spans="1:11">
      <c r="A81" s="191" t="s">
        <v>832</v>
      </c>
      <c r="B81" s="192">
        <v>21</v>
      </c>
      <c r="C81" s="192">
        <v>143</v>
      </c>
      <c r="D81" s="192">
        <v>4</v>
      </c>
      <c r="E81" s="192">
        <v>0</v>
      </c>
      <c r="F81" s="192">
        <v>150</v>
      </c>
      <c r="G81" s="192">
        <v>18</v>
      </c>
      <c r="H81" s="166"/>
      <c r="I81" s="187">
        <f t="shared" si="29"/>
        <v>1.1200000000000001</v>
      </c>
      <c r="J81" s="188">
        <f t="shared" si="30"/>
        <v>10.714285714285714</v>
      </c>
      <c r="K81" s="189">
        <f t="shared" si="27"/>
        <v>89.285714285714292</v>
      </c>
    </row>
    <row r="82" spans="1:11">
      <c r="A82" s="191" t="s">
        <v>833</v>
      </c>
      <c r="B82" s="192">
        <v>272</v>
      </c>
      <c r="C82" s="192">
        <v>376</v>
      </c>
      <c r="D82" s="192">
        <v>44</v>
      </c>
      <c r="E82" s="192">
        <v>0</v>
      </c>
      <c r="F82" s="192">
        <v>449</v>
      </c>
      <c r="G82" s="192">
        <v>243</v>
      </c>
      <c r="H82" s="166"/>
      <c r="I82" s="187">
        <f t="shared" si="29"/>
        <v>1.5412026726057906</v>
      </c>
      <c r="J82" s="188">
        <f t="shared" si="30"/>
        <v>35.115606936416185</v>
      </c>
      <c r="K82" s="189">
        <f t="shared" si="27"/>
        <v>64.884393063583815</v>
      </c>
    </row>
    <row r="83" spans="1:11">
      <c r="A83" s="191" t="s">
        <v>834</v>
      </c>
      <c r="B83" s="192">
        <v>9</v>
      </c>
      <c r="C83" s="192">
        <v>48</v>
      </c>
      <c r="D83" s="192">
        <v>0</v>
      </c>
      <c r="E83" s="192">
        <v>0</v>
      </c>
      <c r="F83" s="192">
        <v>50</v>
      </c>
      <c r="G83" s="192">
        <v>7</v>
      </c>
      <c r="H83" s="166"/>
      <c r="I83" s="187">
        <f t="shared" si="29"/>
        <v>1.1399999999999999</v>
      </c>
      <c r="J83" s="188">
        <f t="shared" si="30"/>
        <v>12.280701754385964</v>
      </c>
      <c r="K83" s="189">
        <f t="shared" si="27"/>
        <v>87.719298245614027</v>
      </c>
    </row>
    <row r="84" spans="1:11">
      <c r="A84" s="191" t="s">
        <v>835</v>
      </c>
      <c r="B84" s="192">
        <v>19</v>
      </c>
      <c r="C84" s="192">
        <v>161</v>
      </c>
      <c r="D84" s="192">
        <v>0</v>
      </c>
      <c r="E84" s="192">
        <v>0</v>
      </c>
      <c r="F84" s="192">
        <v>156</v>
      </c>
      <c r="G84" s="192">
        <v>24</v>
      </c>
      <c r="H84" s="166"/>
      <c r="I84" s="187">
        <f t="shared" si="29"/>
        <v>1.1538461538461537</v>
      </c>
      <c r="J84" s="188">
        <f t="shared" si="30"/>
        <v>13.333333333333334</v>
      </c>
      <c r="K84" s="189">
        <f t="shared" si="27"/>
        <v>86.666666666666671</v>
      </c>
    </row>
    <row r="85" spans="1:11">
      <c r="A85" s="194"/>
      <c r="B85" s="192"/>
      <c r="C85" s="192"/>
      <c r="D85" s="192"/>
      <c r="E85" s="192"/>
      <c r="F85" s="192"/>
      <c r="G85" s="192"/>
      <c r="H85" s="166"/>
      <c r="I85" s="187"/>
      <c r="J85" s="188"/>
      <c r="K85" s="189"/>
    </row>
    <row r="86" spans="1:11" s="220" customFormat="1" ht="20.399999999999999">
      <c r="A86" s="190" t="s">
        <v>836</v>
      </c>
      <c r="B86" s="181">
        <f t="shared" ref="B86:G86" si="31">SUM(B87:B94)</f>
        <v>1228</v>
      </c>
      <c r="C86" s="181">
        <f t="shared" si="31"/>
        <v>2648</v>
      </c>
      <c r="D86" s="181">
        <f t="shared" si="31"/>
        <v>27</v>
      </c>
      <c r="E86" s="181">
        <f t="shared" si="31"/>
        <v>3</v>
      </c>
      <c r="F86" s="181">
        <f t="shared" si="31"/>
        <v>3017</v>
      </c>
      <c r="G86" s="181">
        <f t="shared" si="31"/>
        <v>889</v>
      </c>
      <c r="H86" s="401"/>
      <c r="I86" s="183">
        <f t="shared" ref="I86:I94" si="32">SUM(B86:E86)/F86</f>
        <v>1.2946635730858469</v>
      </c>
      <c r="J86" s="184">
        <f t="shared" ref="J86:J94" si="33">(G86/SUM(B86:E86))*100</f>
        <v>22.759856630824373</v>
      </c>
      <c r="K86" s="185">
        <f t="shared" si="27"/>
        <v>77.240143369175627</v>
      </c>
    </row>
    <row r="87" spans="1:11">
      <c r="A87" s="194" t="s">
        <v>108</v>
      </c>
      <c r="B87" s="192">
        <v>245</v>
      </c>
      <c r="C87" s="192">
        <v>1114</v>
      </c>
      <c r="D87" s="192">
        <v>6</v>
      </c>
      <c r="E87" s="192">
        <v>3</v>
      </c>
      <c r="F87" s="192">
        <v>1043</v>
      </c>
      <c r="G87" s="192">
        <v>325</v>
      </c>
      <c r="H87" s="166"/>
      <c r="I87" s="187">
        <f t="shared" si="32"/>
        <v>1.3116011505273251</v>
      </c>
      <c r="J87" s="188">
        <f t="shared" si="33"/>
        <v>23.757309941520468</v>
      </c>
      <c r="K87" s="189">
        <f t="shared" si="27"/>
        <v>76.242690058479539</v>
      </c>
    </row>
    <row r="88" spans="1:11">
      <c r="A88" s="191" t="s">
        <v>840</v>
      </c>
      <c r="B88" s="192">
        <v>71</v>
      </c>
      <c r="C88" s="192">
        <v>266</v>
      </c>
      <c r="D88" s="192">
        <v>0</v>
      </c>
      <c r="E88" s="192">
        <v>0</v>
      </c>
      <c r="F88" s="192">
        <v>282</v>
      </c>
      <c r="G88" s="192">
        <v>55</v>
      </c>
      <c r="H88" s="166"/>
      <c r="I88" s="187">
        <f t="shared" si="32"/>
        <v>1.1950354609929077</v>
      </c>
      <c r="J88" s="188">
        <f t="shared" si="33"/>
        <v>16.320474777448073</v>
      </c>
      <c r="K88" s="189">
        <f t="shared" si="27"/>
        <v>83.679525222551931</v>
      </c>
    </row>
    <row r="89" spans="1:11">
      <c r="A89" s="191" t="s">
        <v>841</v>
      </c>
      <c r="B89" s="192">
        <v>51</v>
      </c>
      <c r="C89" s="192">
        <v>83</v>
      </c>
      <c r="D89" s="192">
        <v>1</v>
      </c>
      <c r="E89" s="192">
        <v>0</v>
      </c>
      <c r="F89" s="192">
        <v>88</v>
      </c>
      <c r="G89" s="192">
        <v>47</v>
      </c>
      <c r="H89" s="166"/>
      <c r="I89" s="187">
        <f t="shared" si="32"/>
        <v>1.5340909090909092</v>
      </c>
      <c r="J89" s="188">
        <f t="shared" si="33"/>
        <v>34.814814814814817</v>
      </c>
      <c r="K89" s="189">
        <f t="shared" si="27"/>
        <v>65.18518518518519</v>
      </c>
    </row>
    <row r="90" spans="1:11">
      <c r="A90" s="191" t="s">
        <v>704</v>
      </c>
      <c r="B90" s="192">
        <v>314</v>
      </c>
      <c r="C90" s="192">
        <v>288</v>
      </c>
      <c r="D90" s="192">
        <v>4</v>
      </c>
      <c r="E90" s="192">
        <v>0</v>
      </c>
      <c r="F90" s="192">
        <v>448</v>
      </c>
      <c r="G90" s="192">
        <v>158</v>
      </c>
      <c r="H90" s="166"/>
      <c r="I90" s="187">
        <f t="shared" si="32"/>
        <v>1.3526785714285714</v>
      </c>
      <c r="J90" s="188">
        <f t="shared" si="33"/>
        <v>26.072607260726073</v>
      </c>
      <c r="K90" s="189">
        <f t="shared" si="27"/>
        <v>73.927392739273927</v>
      </c>
    </row>
    <row r="91" spans="1:11">
      <c r="A91" s="191" t="s">
        <v>842</v>
      </c>
      <c r="B91" s="192">
        <v>194</v>
      </c>
      <c r="C91" s="192">
        <v>414</v>
      </c>
      <c r="D91" s="192">
        <v>5</v>
      </c>
      <c r="E91" s="192">
        <v>0</v>
      </c>
      <c r="F91" s="192">
        <v>466</v>
      </c>
      <c r="G91" s="192">
        <v>147</v>
      </c>
      <c r="H91" s="166"/>
      <c r="I91" s="187">
        <f t="shared" si="32"/>
        <v>1.3154506437768241</v>
      </c>
      <c r="J91" s="188">
        <f t="shared" si="33"/>
        <v>23.980424143556281</v>
      </c>
      <c r="K91" s="189">
        <f t="shared" si="27"/>
        <v>76.019575856443723</v>
      </c>
    </row>
    <row r="92" spans="1:11">
      <c r="A92" s="191" t="s">
        <v>843</v>
      </c>
      <c r="B92" s="192">
        <v>257</v>
      </c>
      <c r="C92" s="192">
        <v>228</v>
      </c>
      <c r="D92" s="192">
        <v>3</v>
      </c>
      <c r="E92" s="192">
        <v>0</v>
      </c>
      <c r="F92" s="192">
        <v>376</v>
      </c>
      <c r="G92" s="192">
        <v>112</v>
      </c>
      <c r="H92" s="166"/>
      <c r="I92" s="187">
        <f t="shared" si="32"/>
        <v>1.2978723404255319</v>
      </c>
      <c r="J92" s="188">
        <f t="shared" si="33"/>
        <v>22.950819672131146</v>
      </c>
      <c r="K92" s="189">
        <f t="shared" si="27"/>
        <v>77.049180327868854</v>
      </c>
    </row>
    <row r="93" spans="1:11">
      <c r="A93" s="191" t="s">
        <v>844</v>
      </c>
      <c r="B93" s="192">
        <v>86</v>
      </c>
      <c r="C93" s="192">
        <v>218</v>
      </c>
      <c r="D93" s="192">
        <v>7</v>
      </c>
      <c r="E93" s="192">
        <v>0</v>
      </c>
      <c r="F93" s="192">
        <v>267</v>
      </c>
      <c r="G93" s="192">
        <v>44</v>
      </c>
      <c r="H93" s="166"/>
      <c r="I93" s="187">
        <f t="shared" si="32"/>
        <v>1.1647940074906367</v>
      </c>
      <c r="J93" s="188">
        <f t="shared" si="33"/>
        <v>14.14790996784566</v>
      </c>
      <c r="K93" s="189">
        <f t="shared" si="27"/>
        <v>85.852090032154337</v>
      </c>
    </row>
    <row r="94" spans="1:11">
      <c r="A94" s="191" t="s">
        <v>430</v>
      </c>
      <c r="B94" s="192">
        <v>10</v>
      </c>
      <c r="C94" s="192">
        <v>37</v>
      </c>
      <c r="D94" s="192">
        <v>1</v>
      </c>
      <c r="E94" s="192">
        <v>0</v>
      </c>
      <c r="F94" s="192">
        <v>47</v>
      </c>
      <c r="G94" s="192">
        <v>1</v>
      </c>
      <c r="H94" s="166"/>
      <c r="I94" s="187">
        <f t="shared" si="32"/>
        <v>1.0212765957446808</v>
      </c>
      <c r="J94" s="188">
        <f t="shared" si="33"/>
        <v>2.083333333333333</v>
      </c>
      <c r="K94" s="189">
        <f t="shared" si="27"/>
        <v>97.916666666666657</v>
      </c>
    </row>
    <row r="95" spans="1:11">
      <c r="A95" s="194"/>
      <c r="B95" s="192"/>
      <c r="C95" s="192"/>
      <c r="D95" s="192"/>
      <c r="E95" s="192"/>
      <c r="F95" s="192"/>
      <c r="G95" s="192"/>
      <c r="H95" s="166"/>
      <c r="I95" s="187"/>
      <c r="J95" s="188"/>
      <c r="K95" s="189"/>
    </row>
    <row r="96" spans="1:11" s="220" customFormat="1" ht="20.399999999999999">
      <c r="A96" s="190" t="s">
        <v>845</v>
      </c>
      <c r="B96" s="181">
        <f t="shared" ref="B96:G96" si="34">SUM(B97:B98)</f>
        <v>660</v>
      </c>
      <c r="C96" s="181">
        <f t="shared" si="34"/>
        <v>1336</v>
      </c>
      <c r="D96" s="181">
        <f t="shared" si="34"/>
        <v>381</v>
      </c>
      <c r="E96" s="181">
        <f t="shared" si="34"/>
        <v>1</v>
      </c>
      <c r="F96" s="181">
        <f t="shared" si="34"/>
        <v>1732</v>
      </c>
      <c r="G96" s="181">
        <f t="shared" si="34"/>
        <v>646</v>
      </c>
      <c r="H96" s="401"/>
      <c r="I96" s="183">
        <f>SUM(B96:E96)/F96</f>
        <v>1.3729792147806004</v>
      </c>
      <c r="J96" s="184">
        <f>(G96/SUM(B96:E96))*100</f>
        <v>27.165685449957948</v>
      </c>
      <c r="K96" s="185">
        <f t="shared" si="27"/>
        <v>72.834314550042052</v>
      </c>
    </row>
    <row r="97" spans="1:11">
      <c r="A97" s="191" t="s">
        <v>147</v>
      </c>
      <c r="B97" s="192">
        <v>560</v>
      </c>
      <c r="C97" s="192">
        <v>890</v>
      </c>
      <c r="D97" s="192">
        <v>380</v>
      </c>
      <c r="E97" s="192">
        <v>1</v>
      </c>
      <c r="F97" s="192">
        <v>1303</v>
      </c>
      <c r="G97" s="192">
        <v>528</v>
      </c>
      <c r="H97" s="166"/>
      <c r="I97" s="187">
        <f>SUM(B97:E97)/F97</f>
        <v>1.405218726016884</v>
      </c>
      <c r="J97" s="188">
        <f>(G97/SUM(B97:E97))*100</f>
        <v>28.836701256144181</v>
      </c>
      <c r="K97" s="189">
        <f t="shared" si="27"/>
        <v>71.163298743855819</v>
      </c>
    </row>
    <row r="98" spans="1:11">
      <c r="A98" s="191" t="s">
        <v>848</v>
      </c>
      <c r="B98" s="192">
        <v>100</v>
      </c>
      <c r="C98" s="192">
        <v>446</v>
      </c>
      <c r="D98" s="192">
        <v>1</v>
      </c>
      <c r="E98" s="192">
        <v>0</v>
      </c>
      <c r="F98" s="192">
        <v>429</v>
      </c>
      <c r="G98" s="192">
        <v>118</v>
      </c>
      <c r="H98" s="166"/>
      <c r="I98" s="187">
        <f>SUM(B98:E98)/F98</f>
        <v>1.2750582750582751</v>
      </c>
      <c r="J98" s="188">
        <f>(G98/SUM(B98:E98))*100</f>
        <v>21.572212065813527</v>
      </c>
      <c r="K98" s="189">
        <f t="shared" si="27"/>
        <v>78.427787934186483</v>
      </c>
    </row>
    <row r="99" spans="1:11">
      <c r="A99" s="194"/>
      <c r="B99" s="192"/>
      <c r="C99" s="192"/>
      <c r="D99" s="192"/>
      <c r="E99" s="192"/>
      <c r="F99" s="192"/>
      <c r="G99" s="192"/>
      <c r="H99" s="166"/>
      <c r="I99" s="187"/>
      <c r="J99" s="188"/>
      <c r="K99" s="189"/>
    </row>
    <row r="100" spans="1:11" s="220" customFormat="1" ht="20.399999999999999">
      <c r="A100" s="190" t="s">
        <v>849</v>
      </c>
      <c r="B100" s="181">
        <f t="shared" ref="B100:G100" si="35">SUM(B101:B105)</f>
        <v>589</v>
      </c>
      <c r="C100" s="181">
        <f t="shared" si="35"/>
        <v>1534</v>
      </c>
      <c r="D100" s="181">
        <f t="shared" si="35"/>
        <v>401</v>
      </c>
      <c r="E100" s="181">
        <f t="shared" si="35"/>
        <v>2</v>
      </c>
      <c r="F100" s="181">
        <f t="shared" si="35"/>
        <v>2070</v>
      </c>
      <c r="G100" s="181">
        <f t="shared" si="35"/>
        <v>456</v>
      </c>
      <c r="H100" s="401"/>
      <c r="I100" s="183">
        <f t="shared" ref="I100:I105" si="36">SUM(B100:E100)/F100</f>
        <v>1.2202898550724637</v>
      </c>
      <c r="J100" s="184">
        <f t="shared" ref="J100:J105" si="37">(G100/SUM(B100:E100))*100</f>
        <v>18.052256532066508</v>
      </c>
      <c r="K100" s="185">
        <f t="shared" si="27"/>
        <v>81.947743467933492</v>
      </c>
    </row>
    <row r="101" spans="1:11">
      <c r="A101" s="191" t="s">
        <v>855</v>
      </c>
      <c r="B101" s="192">
        <v>123</v>
      </c>
      <c r="C101" s="192">
        <v>465</v>
      </c>
      <c r="D101" s="192">
        <v>53</v>
      </c>
      <c r="E101" s="192">
        <v>0</v>
      </c>
      <c r="F101" s="192">
        <v>537</v>
      </c>
      <c r="G101" s="192">
        <v>104</v>
      </c>
      <c r="H101" s="166"/>
      <c r="I101" s="187">
        <f t="shared" si="36"/>
        <v>1.1936685288640596</v>
      </c>
      <c r="J101" s="188">
        <f t="shared" si="37"/>
        <v>16.22464898595944</v>
      </c>
      <c r="K101" s="189">
        <f t="shared" si="27"/>
        <v>83.775351014040567</v>
      </c>
    </row>
    <row r="102" spans="1:11">
      <c r="A102" s="191" t="s">
        <v>853</v>
      </c>
      <c r="B102" s="192">
        <v>221</v>
      </c>
      <c r="C102" s="192">
        <v>406</v>
      </c>
      <c r="D102" s="192">
        <v>189</v>
      </c>
      <c r="E102" s="192">
        <v>0</v>
      </c>
      <c r="F102" s="192">
        <v>683</v>
      </c>
      <c r="G102" s="192">
        <v>133</v>
      </c>
      <c r="H102" s="166"/>
      <c r="I102" s="187">
        <f t="shared" si="36"/>
        <v>1.1947291361639825</v>
      </c>
      <c r="J102" s="188">
        <f t="shared" si="37"/>
        <v>16.299019607843139</v>
      </c>
      <c r="K102" s="189">
        <f t="shared" si="27"/>
        <v>83.700980392156865</v>
      </c>
    </row>
    <row r="103" spans="1:11">
      <c r="A103" s="191" t="s">
        <v>854</v>
      </c>
      <c r="B103" s="192">
        <v>101</v>
      </c>
      <c r="C103" s="192">
        <v>276</v>
      </c>
      <c r="D103" s="192">
        <v>95</v>
      </c>
      <c r="E103" s="192">
        <v>1</v>
      </c>
      <c r="F103" s="192">
        <v>368</v>
      </c>
      <c r="G103" s="192">
        <v>105</v>
      </c>
      <c r="H103" s="166"/>
      <c r="I103" s="187">
        <f t="shared" si="36"/>
        <v>1.2853260869565217</v>
      </c>
      <c r="J103" s="188">
        <f t="shared" si="37"/>
        <v>22.198731501057082</v>
      </c>
      <c r="K103" s="189">
        <f t="shared" si="27"/>
        <v>77.801268498942918</v>
      </c>
    </row>
    <row r="104" spans="1:11">
      <c r="A104" s="191" t="s">
        <v>856</v>
      </c>
      <c r="B104" s="192">
        <v>117</v>
      </c>
      <c r="C104" s="192">
        <v>293</v>
      </c>
      <c r="D104" s="192">
        <v>44</v>
      </c>
      <c r="E104" s="192">
        <v>0</v>
      </c>
      <c r="F104" s="192">
        <v>378</v>
      </c>
      <c r="G104" s="192">
        <v>76</v>
      </c>
      <c r="H104" s="166"/>
      <c r="I104" s="187">
        <f t="shared" si="36"/>
        <v>1.2010582010582012</v>
      </c>
      <c r="J104" s="188">
        <f t="shared" si="37"/>
        <v>16.740088105726873</v>
      </c>
      <c r="K104" s="189">
        <f t="shared" si="27"/>
        <v>83.259911894273131</v>
      </c>
    </row>
    <row r="105" spans="1:11">
      <c r="A105" s="191" t="s">
        <v>433</v>
      </c>
      <c r="B105" s="192">
        <v>27</v>
      </c>
      <c r="C105" s="192">
        <v>94</v>
      </c>
      <c r="D105" s="192">
        <v>20</v>
      </c>
      <c r="E105" s="192">
        <v>1</v>
      </c>
      <c r="F105" s="192">
        <v>104</v>
      </c>
      <c r="G105" s="192">
        <v>38</v>
      </c>
      <c r="H105" s="166"/>
      <c r="I105" s="187">
        <f t="shared" si="36"/>
        <v>1.3653846153846154</v>
      </c>
      <c r="J105" s="188">
        <f t="shared" si="37"/>
        <v>26.760563380281688</v>
      </c>
      <c r="K105" s="189">
        <f t="shared" si="27"/>
        <v>73.239436619718319</v>
      </c>
    </row>
    <row r="106" spans="1:11">
      <c r="A106" s="190"/>
      <c r="B106" s="192"/>
      <c r="C106" s="192"/>
      <c r="D106" s="192"/>
      <c r="E106" s="192"/>
      <c r="F106" s="192"/>
      <c r="G106" s="192"/>
      <c r="H106" s="166"/>
      <c r="I106" s="187"/>
      <c r="J106" s="188"/>
      <c r="K106" s="189"/>
    </row>
    <row r="107" spans="1:11" s="220" customFormat="1" ht="20.399999999999999">
      <c r="A107" s="190" t="s">
        <v>857</v>
      </c>
      <c r="B107" s="181">
        <f t="shared" ref="B107:G107" si="38">SUM(B108:B110)</f>
        <v>1305</v>
      </c>
      <c r="C107" s="181">
        <f t="shared" si="38"/>
        <v>2210</v>
      </c>
      <c r="D107" s="181">
        <f t="shared" si="38"/>
        <v>57</v>
      </c>
      <c r="E107" s="181">
        <f t="shared" si="38"/>
        <v>0</v>
      </c>
      <c r="F107" s="181">
        <f t="shared" si="38"/>
        <v>2348</v>
      </c>
      <c r="G107" s="181">
        <f t="shared" si="38"/>
        <v>1224</v>
      </c>
      <c r="H107" s="401"/>
      <c r="I107" s="183">
        <f>SUM(B107:E107)/F107</f>
        <v>1.5212947189097104</v>
      </c>
      <c r="J107" s="184">
        <f>(G107/SUM(B107:E107))*100</f>
        <v>34.266517357222845</v>
      </c>
      <c r="K107" s="185">
        <f t="shared" si="27"/>
        <v>65.733482642777147</v>
      </c>
    </row>
    <row r="108" spans="1:11">
      <c r="A108" s="191" t="s">
        <v>588</v>
      </c>
      <c r="B108" s="192">
        <v>753</v>
      </c>
      <c r="C108" s="192">
        <v>1304</v>
      </c>
      <c r="D108" s="192">
        <v>19</v>
      </c>
      <c r="E108" s="192">
        <v>0</v>
      </c>
      <c r="F108" s="192">
        <v>1421</v>
      </c>
      <c r="G108" s="192">
        <v>655</v>
      </c>
      <c r="H108" s="166"/>
      <c r="I108" s="187">
        <f>SUM(B108:E108)/F108</f>
        <v>1.4609429978888107</v>
      </c>
      <c r="J108" s="188">
        <f>(G108/SUM(B108:E108))*100</f>
        <v>31.551059730250479</v>
      </c>
      <c r="K108" s="189">
        <f t="shared" si="27"/>
        <v>68.448940269749514</v>
      </c>
    </row>
    <row r="109" spans="1:11">
      <c r="A109" s="191" t="s">
        <v>858</v>
      </c>
      <c r="B109" s="192">
        <v>203</v>
      </c>
      <c r="C109" s="192">
        <v>391</v>
      </c>
      <c r="D109" s="192">
        <v>0</v>
      </c>
      <c r="E109" s="192">
        <v>0</v>
      </c>
      <c r="F109" s="192">
        <v>337</v>
      </c>
      <c r="G109" s="192">
        <v>257</v>
      </c>
      <c r="H109" s="166"/>
      <c r="I109" s="187">
        <f>SUM(B109:E109)/F109</f>
        <v>1.7626112759643917</v>
      </c>
      <c r="J109" s="188">
        <f>(G109/SUM(B109:E109))*100</f>
        <v>43.265993265993266</v>
      </c>
      <c r="K109" s="189">
        <f t="shared" si="27"/>
        <v>56.734006734006734</v>
      </c>
    </row>
    <row r="110" spans="1:11">
      <c r="A110" s="191" t="s">
        <v>859</v>
      </c>
      <c r="B110" s="192">
        <v>349</v>
      </c>
      <c r="C110" s="192">
        <v>515</v>
      </c>
      <c r="D110" s="192">
        <v>38</v>
      </c>
      <c r="E110" s="192">
        <v>0</v>
      </c>
      <c r="F110" s="192">
        <v>590</v>
      </c>
      <c r="G110" s="192">
        <v>312</v>
      </c>
      <c r="H110" s="166"/>
      <c r="I110" s="187">
        <f>SUM(B110:E110)/F110</f>
        <v>1.528813559322034</v>
      </c>
      <c r="J110" s="188">
        <f>(G110/SUM(B110:E110))*100</f>
        <v>34.589800443458977</v>
      </c>
      <c r="K110" s="189">
        <f t="shared" si="27"/>
        <v>65.410199556541016</v>
      </c>
    </row>
    <row r="111" spans="1:11">
      <c r="A111" s="195"/>
      <c r="B111" s="192"/>
      <c r="C111" s="192"/>
      <c r="D111" s="192"/>
      <c r="E111" s="192"/>
      <c r="F111" s="192"/>
      <c r="G111" s="192"/>
      <c r="H111" s="166"/>
      <c r="I111" s="187"/>
      <c r="J111" s="188"/>
      <c r="K111" s="189"/>
    </row>
    <row r="112" spans="1:11" s="220" customFormat="1" ht="20.399999999999999">
      <c r="A112" s="190" t="s">
        <v>860</v>
      </c>
      <c r="B112" s="181">
        <f t="shared" ref="B112:G112" si="39">SUM(B113:B115)</f>
        <v>880</v>
      </c>
      <c r="C112" s="181">
        <f t="shared" si="39"/>
        <v>2126</v>
      </c>
      <c r="D112" s="181">
        <f t="shared" si="39"/>
        <v>461</v>
      </c>
      <c r="E112" s="181">
        <f t="shared" si="39"/>
        <v>0</v>
      </c>
      <c r="F112" s="181">
        <f t="shared" si="39"/>
        <v>2239</v>
      </c>
      <c r="G112" s="181">
        <f t="shared" si="39"/>
        <v>1228</v>
      </c>
      <c r="H112" s="401"/>
      <c r="I112" s="183">
        <f>SUM(B112:E112)/F112</f>
        <v>1.5484591335417597</v>
      </c>
      <c r="J112" s="184">
        <f>(G112/SUM(B112:E112))*100</f>
        <v>35.419671185462938</v>
      </c>
      <c r="K112" s="185">
        <f t="shared" si="27"/>
        <v>64.580328814537069</v>
      </c>
    </row>
    <row r="113" spans="1:11">
      <c r="A113" s="191" t="s">
        <v>1034</v>
      </c>
      <c r="B113" s="192">
        <v>390</v>
      </c>
      <c r="C113" s="192">
        <v>948</v>
      </c>
      <c r="D113" s="192">
        <v>64</v>
      </c>
      <c r="E113" s="192">
        <v>0</v>
      </c>
      <c r="F113" s="192">
        <v>688</v>
      </c>
      <c r="G113" s="192">
        <v>714</v>
      </c>
      <c r="H113" s="166"/>
      <c r="I113" s="187">
        <f>SUM(B113:E113)/F113</f>
        <v>2.0377906976744184</v>
      </c>
      <c r="J113" s="188">
        <f>(G113/SUM(B113:E113))*100</f>
        <v>50.927246790299577</v>
      </c>
      <c r="K113" s="189">
        <f t="shared" si="27"/>
        <v>49.072753209700423</v>
      </c>
    </row>
    <row r="114" spans="1:11">
      <c r="A114" s="191" t="s">
        <v>863</v>
      </c>
      <c r="B114" s="192">
        <v>230</v>
      </c>
      <c r="C114" s="192">
        <v>543</v>
      </c>
      <c r="D114" s="192">
        <v>26</v>
      </c>
      <c r="E114" s="192">
        <v>0</v>
      </c>
      <c r="F114" s="192">
        <v>551</v>
      </c>
      <c r="G114" s="192">
        <v>248</v>
      </c>
      <c r="H114" s="166"/>
      <c r="I114" s="187">
        <f>SUM(B114:E114)/F114</f>
        <v>1.4500907441016333</v>
      </c>
      <c r="J114" s="188">
        <f>(G114/SUM(B114:E114))*100</f>
        <v>31.038798498122656</v>
      </c>
      <c r="K114" s="189">
        <f t="shared" si="27"/>
        <v>68.961201501877341</v>
      </c>
    </row>
    <row r="115" spans="1:11">
      <c r="A115" s="191" t="s">
        <v>864</v>
      </c>
      <c r="B115" s="192">
        <v>260</v>
      </c>
      <c r="C115" s="192">
        <v>635</v>
      </c>
      <c r="D115" s="192">
        <v>371</v>
      </c>
      <c r="E115" s="192">
        <v>0</v>
      </c>
      <c r="F115" s="192">
        <v>1000</v>
      </c>
      <c r="G115" s="192">
        <v>266</v>
      </c>
      <c r="H115" s="166"/>
      <c r="I115" s="187">
        <f>SUM(B115:E115)/F115</f>
        <v>1.266</v>
      </c>
      <c r="J115" s="188">
        <f>(G115/SUM(B115:E115))*100</f>
        <v>21.011058451816748</v>
      </c>
      <c r="K115" s="189">
        <f t="shared" si="27"/>
        <v>78.988941548183249</v>
      </c>
    </row>
    <row r="116" spans="1:11">
      <c r="A116" s="372"/>
      <c r="B116" s="264"/>
      <c r="C116" s="263"/>
      <c r="D116" s="263"/>
      <c r="E116" s="263"/>
      <c r="F116" s="263"/>
      <c r="G116" s="264"/>
      <c r="H116" s="171"/>
      <c r="I116" s="218"/>
      <c r="J116" s="171"/>
      <c r="K116" s="217"/>
    </row>
    <row r="117" spans="1:11">
      <c r="A117" s="39" t="s">
        <v>1072</v>
      </c>
      <c r="B117" s="265"/>
      <c r="C117" s="265"/>
      <c r="D117" s="265"/>
      <c r="E117" s="265"/>
      <c r="F117" s="265"/>
      <c r="G117" s="265"/>
    </row>
  </sheetData>
  <sheetProtection selectLockedCells="1" selectUnlockedCells="1"/>
  <mergeCells count="3">
    <mergeCell ref="A3:K3"/>
    <mergeCell ref="B5:G5"/>
    <mergeCell ref="I5:K5"/>
  </mergeCells>
  <phoneticPr fontId="0" type="noConversion"/>
  <dataValidations count="1">
    <dataValidation type="whole" operator="equal" allowBlank="1" showInputMessage="1" showErrorMessage="1" errorTitle="Error" error="El balance en Materia Contravencional no coincide con el dato indicado." sqref="B69 B30 B61">
      <formula1>#REF!+#REF!+#REF!-#REF!</formula1>
    </dataValidation>
  </dataValidations>
  <printOptions horizontalCentered="1" verticalCentered="1"/>
  <pageMargins left="0" right="0" top="0" bottom="0" header="0.51180555555555551" footer="0.51180555555555551"/>
  <pageSetup scale="30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00B0F0"/>
  </sheetPr>
  <dimension ref="A1:T102"/>
  <sheetViews>
    <sheetView workbookViewId="0">
      <selection activeCell="A3" sqref="A3:K3"/>
    </sheetView>
  </sheetViews>
  <sheetFormatPr baseColWidth="10" defaultColWidth="16.6640625" defaultRowHeight="21"/>
  <cols>
    <col min="1" max="1" width="99.33203125" style="219" customWidth="1"/>
    <col min="2" max="2" width="18.109375" style="219" customWidth="1"/>
    <col min="3" max="3" width="16.6640625" style="219" customWidth="1"/>
    <col min="4" max="5" width="18.6640625" style="219" customWidth="1"/>
    <col min="6" max="6" width="19.5546875" style="219" customWidth="1"/>
    <col min="7" max="7" width="17.5546875" style="219" customWidth="1"/>
    <col min="8" max="8" width="5.6640625" style="152" customWidth="1"/>
    <col min="9" max="9" width="18.109375" style="152" customWidth="1"/>
    <col min="10" max="11" width="18.6640625" style="152" customWidth="1"/>
    <col min="12" max="16384" width="16.6640625" style="219"/>
  </cols>
  <sheetData>
    <row r="1" spans="1:11">
      <c r="A1" s="220" t="s">
        <v>589</v>
      </c>
      <c r="B1" s="154"/>
      <c r="C1" s="154"/>
      <c r="D1" s="154"/>
      <c r="E1" s="154"/>
      <c r="F1" s="154"/>
      <c r="G1" s="154"/>
    </row>
    <row r="2" spans="1:11">
      <c r="A2" s="220"/>
      <c r="B2" s="251"/>
      <c r="C2" s="251"/>
      <c r="D2" s="251"/>
      <c r="E2" s="251"/>
      <c r="F2" s="251"/>
    </row>
    <row r="3" spans="1:11">
      <c r="A3" s="457" t="s">
        <v>1069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</row>
    <row r="4" spans="1:11">
      <c r="A4" s="158"/>
      <c r="B4" s="373"/>
      <c r="C4" s="158"/>
      <c r="D4" s="158"/>
      <c r="E4" s="158"/>
      <c r="F4" s="158"/>
      <c r="G4" s="157"/>
      <c r="H4" s="160"/>
      <c r="I4" s="160"/>
      <c r="J4" s="160"/>
      <c r="K4" s="160"/>
    </row>
    <row r="5" spans="1:11" ht="20.25" customHeight="1">
      <c r="A5" s="329"/>
      <c r="B5" s="458" t="s">
        <v>535</v>
      </c>
      <c r="C5" s="458"/>
      <c r="D5" s="458"/>
      <c r="E5" s="458"/>
      <c r="F5" s="458"/>
      <c r="G5" s="458"/>
      <c r="H5" s="162"/>
      <c r="I5" s="459" t="s">
        <v>536</v>
      </c>
      <c r="J5" s="459"/>
      <c r="K5" s="459"/>
    </row>
    <row r="6" spans="1:11" ht="20.25" customHeight="1">
      <c r="A6" s="186" t="s">
        <v>537</v>
      </c>
      <c r="B6" s="186" t="s">
        <v>538</v>
      </c>
      <c r="C6" s="278" t="s">
        <v>539</v>
      </c>
      <c r="D6" s="169" t="s">
        <v>539</v>
      </c>
      <c r="E6" s="169" t="s">
        <v>153</v>
      </c>
      <c r="F6" s="169" t="s">
        <v>539</v>
      </c>
      <c r="G6" s="170" t="s">
        <v>540</v>
      </c>
      <c r="H6" s="166"/>
      <c r="I6" s="163" t="s">
        <v>541</v>
      </c>
      <c r="J6" s="165" t="s">
        <v>542</v>
      </c>
      <c r="K6" s="164" t="s">
        <v>542</v>
      </c>
    </row>
    <row r="7" spans="1:11">
      <c r="A7" s="224"/>
      <c r="B7" s="374">
        <v>42370</v>
      </c>
      <c r="C7" s="281" t="s">
        <v>543</v>
      </c>
      <c r="D7" s="173" t="s">
        <v>544</v>
      </c>
      <c r="E7" s="173" t="s">
        <v>154</v>
      </c>
      <c r="F7" s="173" t="s">
        <v>545</v>
      </c>
      <c r="G7" s="168">
        <v>42735</v>
      </c>
      <c r="H7" s="171"/>
      <c r="I7" s="172" t="s">
        <v>547</v>
      </c>
      <c r="J7" s="173" t="s">
        <v>548</v>
      </c>
      <c r="K7" s="232" t="s">
        <v>549</v>
      </c>
    </row>
    <row r="8" spans="1:11">
      <c r="A8" s="186"/>
      <c r="B8" s="256"/>
      <c r="C8" s="375"/>
      <c r="D8" s="375"/>
      <c r="E8" s="375"/>
      <c r="F8" s="375"/>
      <c r="G8" s="376"/>
      <c r="H8" s="166"/>
      <c r="I8" s="179"/>
      <c r="J8" s="166"/>
      <c r="K8" s="179"/>
    </row>
    <row r="9" spans="1:11">
      <c r="A9" s="180" t="s">
        <v>221</v>
      </c>
      <c r="B9" s="181">
        <f t="shared" ref="B9:G9" si="0">SUM(B11,B18,B21,B27,B33,B40,B45,B52,B59,B67,B75,B83,B87,B94,B98)</f>
        <v>29475</v>
      </c>
      <c r="C9" s="181">
        <f t="shared" si="0"/>
        <v>81515</v>
      </c>
      <c r="D9" s="181">
        <f t="shared" si="0"/>
        <v>2736</v>
      </c>
      <c r="E9" s="181">
        <f t="shared" si="0"/>
        <v>120</v>
      </c>
      <c r="F9" s="181">
        <f t="shared" si="0"/>
        <v>83428</v>
      </c>
      <c r="G9" s="181">
        <f t="shared" si="0"/>
        <v>30418</v>
      </c>
      <c r="H9" s="211"/>
      <c r="I9" s="183">
        <f>SUM(B9:E9)/F9</f>
        <v>1.3646018123411805</v>
      </c>
      <c r="J9" s="184">
        <f>(G9/SUM(B9:E9))*100</f>
        <v>26.718549619661648</v>
      </c>
      <c r="K9" s="185">
        <f>(F9/SUM(B9:E9))*100</f>
        <v>73.281450380338356</v>
      </c>
    </row>
    <row r="10" spans="1:11">
      <c r="A10" s="212"/>
      <c r="B10" s="192"/>
      <c r="C10" s="192"/>
      <c r="D10" s="192"/>
      <c r="E10" s="192"/>
      <c r="F10" s="192"/>
      <c r="G10" s="192"/>
      <c r="H10" s="211"/>
      <c r="I10" s="187"/>
      <c r="J10" s="188"/>
      <c r="K10" s="189"/>
    </row>
    <row r="11" spans="1:11" s="220" customFormat="1" ht="20.399999999999999">
      <c r="A11" s="190" t="s">
        <v>551</v>
      </c>
      <c r="B11" s="181">
        <f t="shared" ref="B11:G11" si="1">SUM(B12:B16)</f>
        <v>4661</v>
      </c>
      <c r="C11" s="181">
        <f t="shared" si="1"/>
        <v>13448</v>
      </c>
      <c r="D11" s="181">
        <f t="shared" si="1"/>
        <v>1188</v>
      </c>
      <c r="E11" s="181">
        <f t="shared" si="1"/>
        <v>24</v>
      </c>
      <c r="F11" s="181">
        <f t="shared" si="1"/>
        <v>14776</v>
      </c>
      <c r="G11" s="181">
        <f t="shared" si="1"/>
        <v>4545</v>
      </c>
      <c r="H11" s="170"/>
      <c r="I11" s="183">
        <f t="shared" ref="I11:I73" si="2">SUM(B11:E11)/F11</f>
        <v>1.3075933946940985</v>
      </c>
      <c r="J11" s="184">
        <f t="shared" ref="J11:J73" si="3">(G11/SUM(B11:E11))*100</f>
        <v>23.523627141452305</v>
      </c>
      <c r="K11" s="185">
        <f t="shared" ref="K11:K73" si="4">(F11/SUM(B11:E11))*100</f>
        <v>76.476372858547691</v>
      </c>
    </row>
    <row r="12" spans="1:11">
      <c r="A12" s="191" t="s">
        <v>590</v>
      </c>
      <c r="B12" s="211">
        <v>4082</v>
      </c>
      <c r="C12" s="211">
        <v>11179</v>
      </c>
      <c r="D12" s="211">
        <v>1158</v>
      </c>
      <c r="E12" s="211">
        <v>24</v>
      </c>
      <c r="F12" s="211">
        <v>12473</v>
      </c>
      <c r="G12" s="211">
        <v>3970</v>
      </c>
      <c r="H12" s="211"/>
      <c r="I12" s="187">
        <f t="shared" si="2"/>
        <v>1.3182875010021646</v>
      </c>
      <c r="J12" s="188">
        <f t="shared" si="3"/>
        <v>24.144012649759777</v>
      </c>
      <c r="K12" s="189">
        <f t="shared" si="4"/>
        <v>75.855987350240227</v>
      </c>
    </row>
    <row r="13" spans="1:11">
      <c r="A13" s="191" t="s">
        <v>592</v>
      </c>
      <c r="B13" s="211">
        <v>313</v>
      </c>
      <c r="C13" s="211">
        <v>1633</v>
      </c>
      <c r="D13" s="211">
        <v>1</v>
      </c>
      <c r="E13" s="211">
        <v>0</v>
      </c>
      <c r="F13" s="211">
        <v>1597</v>
      </c>
      <c r="G13" s="211">
        <v>350</v>
      </c>
      <c r="H13" s="211"/>
      <c r="I13" s="187">
        <f t="shared" si="2"/>
        <v>1.2191609267376331</v>
      </c>
      <c r="J13" s="188">
        <f t="shared" si="3"/>
        <v>17.976373908577298</v>
      </c>
      <c r="K13" s="189">
        <f t="shared" si="4"/>
        <v>82.023626091422699</v>
      </c>
    </row>
    <row r="14" spans="1:11">
      <c r="A14" s="191" t="s">
        <v>262</v>
      </c>
      <c r="B14" s="211">
        <v>35</v>
      </c>
      <c r="C14" s="211">
        <v>225</v>
      </c>
      <c r="D14" s="211">
        <v>9</v>
      </c>
      <c r="E14" s="211">
        <v>0</v>
      </c>
      <c r="F14" s="211">
        <v>234</v>
      </c>
      <c r="G14" s="211">
        <v>35</v>
      </c>
      <c r="H14" s="211"/>
      <c r="I14" s="187">
        <f t="shared" si="2"/>
        <v>1.1495726495726495</v>
      </c>
      <c r="J14" s="188">
        <f t="shared" si="3"/>
        <v>13.011152416356877</v>
      </c>
      <c r="K14" s="189">
        <f t="shared" si="4"/>
        <v>86.988847583643121</v>
      </c>
    </row>
    <row r="15" spans="1:11">
      <c r="A15" s="191" t="s">
        <v>263</v>
      </c>
      <c r="B15" s="211">
        <v>225</v>
      </c>
      <c r="C15" s="211">
        <v>387</v>
      </c>
      <c r="D15" s="211">
        <v>19</v>
      </c>
      <c r="E15" s="211">
        <v>0</v>
      </c>
      <c r="F15" s="211">
        <v>442</v>
      </c>
      <c r="G15" s="211">
        <v>189</v>
      </c>
      <c r="H15" s="211"/>
      <c r="I15" s="187">
        <f t="shared" si="2"/>
        <v>1.4276018099547512</v>
      </c>
      <c r="J15" s="188">
        <f t="shared" si="3"/>
        <v>29.952456418383516</v>
      </c>
      <c r="K15" s="189">
        <f t="shared" si="4"/>
        <v>70.04754358161648</v>
      </c>
    </row>
    <row r="16" spans="1:11">
      <c r="A16" s="191" t="s">
        <v>264</v>
      </c>
      <c r="B16" s="211">
        <v>6</v>
      </c>
      <c r="C16" s="211">
        <v>24</v>
      </c>
      <c r="D16" s="211">
        <v>1</v>
      </c>
      <c r="E16" s="211">
        <v>0</v>
      </c>
      <c r="F16" s="211">
        <v>30</v>
      </c>
      <c r="G16" s="211">
        <v>1</v>
      </c>
      <c r="H16" s="211"/>
      <c r="I16" s="187">
        <f t="shared" si="2"/>
        <v>1.0333333333333334</v>
      </c>
      <c r="J16" s="188">
        <f t="shared" si="3"/>
        <v>3.225806451612903</v>
      </c>
      <c r="K16" s="189">
        <f t="shared" si="4"/>
        <v>96.774193548387103</v>
      </c>
    </row>
    <row r="17" spans="1:11">
      <c r="A17" s="194"/>
      <c r="B17" s="211"/>
      <c r="C17" s="211"/>
      <c r="D17" s="211"/>
      <c r="E17" s="211"/>
      <c r="F17" s="211"/>
      <c r="G17" s="211"/>
      <c r="H17" s="211"/>
      <c r="I17" s="187"/>
      <c r="J17" s="188"/>
      <c r="K17" s="189"/>
    </row>
    <row r="18" spans="1:11" s="220" customFormat="1" ht="20.399999999999999">
      <c r="A18" s="190" t="s">
        <v>268</v>
      </c>
      <c r="B18" s="170">
        <f t="shared" ref="B18:G18" si="5">SUM(B19)</f>
        <v>7112</v>
      </c>
      <c r="C18" s="170">
        <f t="shared" si="5"/>
        <v>11667</v>
      </c>
      <c r="D18" s="170">
        <f t="shared" si="5"/>
        <v>86</v>
      </c>
      <c r="E18" s="170">
        <f t="shared" si="5"/>
        <v>21</v>
      </c>
      <c r="F18" s="170">
        <f t="shared" si="5"/>
        <v>11566</v>
      </c>
      <c r="G18" s="170">
        <f t="shared" si="5"/>
        <v>7320</v>
      </c>
      <c r="H18" s="170"/>
      <c r="I18" s="183">
        <f t="shared" si="2"/>
        <v>1.6328895037177935</v>
      </c>
      <c r="J18" s="184">
        <f t="shared" si="3"/>
        <v>38.758869003494652</v>
      </c>
      <c r="K18" s="185">
        <f t="shared" si="4"/>
        <v>61.241130996505348</v>
      </c>
    </row>
    <row r="19" spans="1:11" s="220" customFormat="1">
      <c r="A19" s="191" t="s">
        <v>593</v>
      </c>
      <c r="B19" s="211">
        <v>7112</v>
      </c>
      <c r="C19" s="211">
        <v>11667</v>
      </c>
      <c r="D19" s="211">
        <v>86</v>
      </c>
      <c r="E19" s="211">
        <v>21</v>
      </c>
      <c r="F19" s="211">
        <v>11566</v>
      </c>
      <c r="G19" s="211">
        <v>7320</v>
      </c>
      <c r="H19" s="211"/>
      <c r="I19" s="187">
        <f t="shared" si="2"/>
        <v>1.6328895037177935</v>
      </c>
      <c r="J19" s="188">
        <f t="shared" si="3"/>
        <v>38.758869003494652</v>
      </c>
      <c r="K19" s="189">
        <f t="shared" si="4"/>
        <v>61.241130996505348</v>
      </c>
    </row>
    <row r="20" spans="1:11" s="220" customFormat="1">
      <c r="A20" s="357"/>
      <c r="B20" s="211"/>
      <c r="C20" s="211"/>
      <c r="D20" s="211"/>
      <c r="E20" s="211"/>
      <c r="F20" s="211"/>
      <c r="G20" s="211"/>
      <c r="H20" s="211"/>
      <c r="I20" s="187"/>
      <c r="J20" s="188"/>
      <c r="K20" s="189"/>
    </row>
    <row r="21" spans="1:11" s="220" customFormat="1" ht="20.399999999999999">
      <c r="A21" s="190" t="s">
        <v>271</v>
      </c>
      <c r="B21" s="170">
        <f t="shared" ref="B21:G21" si="6">SUM(B22:B25)</f>
        <v>2318</v>
      </c>
      <c r="C21" s="170">
        <f t="shared" si="6"/>
        <v>11115</v>
      </c>
      <c r="D21" s="170">
        <f t="shared" si="6"/>
        <v>107</v>
      </c>
      <c r="E21" s="170">
        <f t="shared" si="6"/>
        <v>0</v>
      </c>
      <c r="F21" s="170">
        <f t="shared" si="6"/>
        <v>10808</v>
      </c>
      <c r="G21" s="170">
        <f t="shared" si="6"/>
        <v>2732</v>
      </c>
      <c r="H21" s="170"/>
      <c r="I21" s="183">
        <f t="shared" si="2"/>
        <v>1.2527757216876387</v>
      </c>
      <c r="J21" s="184">
        <f t="shared" si="3"/>
        <v>20.17725258493353</v>
      </c>
      <c r="K21" s="185">
        <f t="shared" si="4"/>
        <v>79.822747415066473</v>
      </c>
    </row>
    <row r="22" spans="1:11">
      <c r="A22" s="191" t="s">
        <v>594</v>
      </c>
      <c r="B22" s="211">
        <v>721</v>
      </c>
      <c r="C22" s="211">
        <v>3458</v>
      </c>
      <c r="D22" s="211">
        <v>67</v>
      </c>
      <c r="E22" s="211">
        <v>0</v>
      </c>
      <c r="F22" s="211">
        <v>3384</v>
      </c>
      <c r="G22" s="211">
        <v>862</v>
      </c>
      <c r="H22" s="211"/>
      <c r="I22" s="187">
        <f t="shared" si="2"/>
        <v>1.2547281323877069</v>
      </c>
      <c r="J22" s="188">
        <f t="shared" si="3"/>
        <v>20.301460197833254</v>
      </c>
      <c r="K22" s="189">
        <f t="shared" si="4"/>
        <v>79.698539802166749</v>
      </c>
    </row>
    <row r="23" spans="1:11">
      <c r="A23" s="191" t="s">
        <v>591</v>
      </c>
      <c r="B23" s="211">
        <v>1026</v>
      </c>
      <c r="C23" s="211">
        <v>4510</v>
      </c>
      <c r="D23" s="211">
        <v>30</v>
      </c>
      <c r="E23" s="211">
        <v>0</v>
      </c>
      <c r="F23" s="211">
        <v>4322</v>
      </c>
      <c r="G23" s="211">
        <v>1244</v>
      </c>
      <c r="H23" s="211"/>
      <c r="I23" s="187">
        <f t="shared" si="2"/>
        <v>1.2878297084683017</v>
      </c>
      <c r="J23" s="188">
        <f t="shared" si="3"/>
        <v>22.349982033776499</v>
      </c>
      <c r="K23" s="189">
        <f t="shared" si="4"/>
        <v>77.650017966223501</v>
      </c>
    </row>
    <row r="24" spans="1:11">
      <c r="A24" s="191" t="s">
        <v>595</v>
      </c>
      <c r="B24" s="211">
        <v>538</v>
      </c>
      <c r="C24" s="211">
        <v>3087</v>
      </c>
      <c r="D24" s="211">
        <v>6</v>
      </c>
      <c r="E24" s="211">
        <v>0</v>
      </c>
      <c r="F24" s="211">
        <v>3041</v>
      </c>
      <c r="G24" s="211">
        <v>590</v>
      </c>
      <c r="H24" s="211"/>
      <c r="I24" s="187">
        <f t="shared" si="2"/>
        <v>1.1940151266030912</v>
      </c>
      <c r="J24" s="188">
        <f t="shared" si="3"/>
        <v>16.248967226659321</v>
      </c>
      <c r="K24" s="189">
        <f t="shared" si="4"/>
        <v>83.751032773340668</v>
      </c>
    </row>
    <row r="25" spans="1:11" s="220" customFormat="1">
      <c r="A25" s="191" t="s">
        <v>279</v>
      </c>
      <c r="B25" s="211">
        <v>33</v>
      </c>
      <c r="C25" s="211">
        <v>60</v>
      </c>
      <c r="D25" s="211">
        <v>4</v>
      </c>
      <c r="E25" s="211">
        <v>0</v>
      </c>
      <c r="F25" s="211">
        <v>61</v>
      </c>
      <c r="G25" s="211">
        <v>36</v>
      </c>
      <c r="H25" s="211"/>
      <c r="I25" s="187">
        <f t="shared" si="2"/>
        <v>1.5901639344262295</v>
      </c>
      <c r="J25" s="188">
        <f t="shared" si="3"/>
        <v>37.113402061855673</v>
      </c>
      <c r="K25" s="189">
        <f t="shared" si="4"/>
        <v>62.886597938144327</v>
      </c>
    </row>
    <row r="26" spans="1:11" s="220" customFormat="1">
      <c r="A26" s="194"/>
      <c r="B26" s="211"/>
      <c r="C26" s="211"/>
      <c r="D26" s="211"/>
      <c r="E26" s="211"/>
      <c r="F26" s="211"/>
      <c r="G26" s="211"/>
      <c r="H26" s="211"/>
      <c r="I26" s="187"/>
      <c r="J26" s="188"/>
      <c r="K26" s="189"/>
    </row>
    <row r="27" spans="1:11" s="220" customFormat="1" ht="20.399999999999999">
      <c r="A27" s="190" t="s">
        <v>280</v>
      </c>
      <c r="B27" s="170">
        <f t="shared" ref="B27:G27" si="7">SUM(B28:B31)</f>
        <v>2000</v>
      </c>
      <c r="C27" s="170">
        <f t="shared" si="7"/>
        <v>8214</v>
      </c>
      <c r="D27" s="170">
        <f t="shared" si="7"/>
        <v>335</v>
      </c>
      <c r="E27" s="170">
        <f t="shared" si="7"/>
        <v>2</v>
      </c>
      <c r="F27" s="170">
        <f t="shared" si="7"/>
        <v>8071</v>
      </c>
      <c r="G27" s="170">
        <f t="shared" si="7"/>
        <v>2480</v>
      </c>
      <c r="H27" s="170"/>
      <c r="I27" s="183">
        <f t="shared" si="2"/>
        <v>1.3072729525461528</v>
      </c>
      <c r="J27" s="184">
        <f t="shared" si="3"/>
        <v>23.504881053928536</v>
      </c>
      <c r="K27" s="185">
        <f t="shared" si="4"/>
        <v>76.495118946071457</v>
      </c>
    </row>
    <row r="28" spans="1:11">
      <c r="A28" s="191" t="s">
        <v>596</v>
      </c>
      <c r="B28" s="211">
        <v>1366</v>
      </c>
      <c r="C28" s="211">
        <v>6927</v>
      </c>
      <c r="D28" s="211">
        <v>249</v>
      </c>
      <c r="E28" s="211">
        <v>1</v>
      </c>
      <c r="F28" s="211">
        <v>6937</v>
      </c>
      <c r="G28" s="211">
        <v>1606</v>
      </c>
      <c r="H28" s="211"/>
      <c r="I28" s="187">
        <f t="shared" si="2"/>
        <v>1.2315121810580942</v>
      </c>
      <c r="J28" s="188">
        <f t="shared" si="3"/>
        <v>18.799016738850522</v>
      </c>
      <c r="K28" s="189">
        <f t="shared" si="4"/>
        <v>81.200983261149489</v>
      </c>
    </row>
    <row r="29" spans="1:11">
      <c r="A29" s="191" t="s">
        <v>285</v>
      </c>
      <c r="B29" s="211">
        <v>156</v>
      </c>
      <c r="C29" s="211">
        <v>529</v>
      </c>
      <c r="D29" s="211">
        <v>68</v>
      </c>
      <c r="E29" s="211">
        <v>0</v>
      </c>
      <c r="F29" s="211">
        <v>430</v>
      </c>
      <c r="G29" s="211">
        <v>323</v>
      </c>
      <c r="H29" s="211"/>
      <c r="I29" s="187">
        <f t="shared" si="2"/>
        <v>1.7511627906976743</v>
      </c>
      <c r="J29" s="188">
        <f t="shared" si="3"/>
        <v>42.895086321381143</v>
      </c>
      <c r="K29" s="189">
        <f t="shared" si="4"/>
        <v>57.104913678618864</v>
      </c>
    </row>
    <row r="30" spans="1:11" s="220" customFormat="1">
      <c r="A30" s="191" t="s">
        <v>283</v>
      </c>
      <c r="B30" s="211">
        <v>61</v>
      </c>
      <c r="C30" s="211">
        <v>211</v>
      </c>
      <c r="D30" s="211">
        <v>18</v>
      </c>
      <c r="E30" s="211">
        <v>1</v>
      </c>
      <c r="F30" s="211">
        <v>216</v>
      </c>
      <c r="G30" s="211">
        <v>75</v>
      </c>
      <c r="H30" s="211"/>
      <c r="I30" s="187">
        <f t="shared" si="2"/>
        <v>1.3472222222222223</v>
      </c>
      <c r="J30" s="188">
        <f t="shared" si="3"/>
        <v>25.773195876288657</v>
      </c>
      <c r="K30" s="189">
        <f t="shared" si="4"/>
        <v>74.226804123711347</v>
      </c>
    </row>
    <row r="31" spans="1:11">
      <c r="A31" s="191" t="s">
        <v>421</v>
      </c>
      <c r="B31" s="211">
        <v>417</v>
      </c>
      <c r="C31" s="211">
        <v>547</v>
      </c>
      <c r="D31" s="211">
        <v>0</v>
      </c>
      <c r="E31" s="211">
        <v>0</v>
      </c>
      <c r="F31" s="211">
        <v>488</v>
      </c>
      <c r="G31" s="211">
        <v>476</v>
      </c>
      <c r="H31" s="211"/>
      <c r="I31" s="187">
        <f t="shared" si="2"/>
        <v>1.9754098360655739</v>
      </c>
      <c r="J31" s="188">
        <f t="shared" si="3"/>
        <v>49.377593360995853</v>
      </c>
      <c r="K31" s="189">
        <f t="shared" si="4"/>
        <v>50.622406639004147</v>
      </c>
    </row>
    <row r="32" spans="1:11">
      <c r="A32" s="191"/>
      <c r="B32" s="211"/>
      <c r="C32" s="211"/>
      <c r="D32" s="211"/>
      <c r="E32" s="211"/>
      <c r="F32" s="211"/>
      <c r="G32" s="211"/>
      <c r="H32" s="211"/>
      <c r="I32" s="187"/>
      <c r="J32" s="188"/>
      <c r="K32" s="189"/>
    </row>
    <row r="33" spans="1:11" s="220" customFormat="1" ht="20.399999999999999">
      <c r="A33" s="190" t="s">
        <v>287</v>
      </c>
      <c r="B33" s="170">
        <f t="shared" ref="B33:G33" si="8">SUM(B34:B38)</f>
        <v>535</v>
      </c>
      <c r="C33" s="170">
        <f t="shared" si="8"/>
        <v>1752</v>
      </c>
      <c r="D33" s="170">
        <f t="shared" si="8"/>
        <v>68</v>
      </c>
      <c r="E33" s="170">
        <f t="shared" si="8"/>
        <v>9</v>
      </c>
      <c r="F33" s="170">
        <f t="shared" si="8"/>
        <v>1646</v>
      </c>
      <c r="G33" s="170">
        <f t="shared" si="8"/>
        <v>718</v>
      </c>
      <c r="H33" s="170"/>
      <c r="I33" s="183">
        <f t="shared" si="2"/>
        <v>1.4362089914945322</v>
      </c>
      <c r="J33" s="184">
        <f t="shared" si="3"/>
        <v>30.372250423011842</v>
      </c>
      <c r="K33" s="185">
        <f t="shared" si="4"/>
        <v>69.627749576988151</v>
      </c>
    </row>
    <row r="34" spans="1:11">
      <c r="A34" s="191" t="s">
        <v>597</v>
      </c>
      <c r="B34" s="211">
        <v>157</v>
      </c>
      <c r="C34" s="211">
        <v>1144</v>
      </c>
      <c r="D34" s="211">
        <v>4</v>
      </c>
      <c r="E34" s="211">
        <v>5</v>
      </c>
      <c r="F34" s="211">
        <v>1069</v>
      </c>
      <c r="G34" s="211">
        <v>241</v>
      </c>
      <c r="H34" s="211"/>
      <c r="I34" s="187">
        <f t="shared" si="2"/>
        <v>1.2254443405051449</v>
      </c>
      <c r="J34" s="188">
        <f t="shared" si="3"/>
        <v>18.396946564885496</v>
      </c>
      <c r="K34" s="189">
        <f t="shared" si="4"/>
        <v>81.603053435114504</v>
      </c>
    </row>
    <row r="35" spans="1:11">
      <c r="A35" s="191" t="s">
        <v>290</v>
      </c>
      <c r="B35" s="211">
        <v>93</v>
      </c>
      <c r="C35" s="211">
        <v>167</v>
      </c>
      <c r="D35" s="211">
        <v>9</v>
      </c>
      <c r="E35" s="211">
        <v>1</v>
      </c>
      <c r="F35" s="211">
        <v>132</v>
      </c>
      <c r="G35" s="211">
        <v>138</v>
      </c>
      <c r="H35" s="211"/>
      <c r="I35" s="187">
        <f t="shared" si="2"/>
        <v>2.0454545454545454</v>
      </c>
      <c r="J35" s="188">
        <f t="shared" si="3"/>
        <v>51.111111111111107</v>
      </c>
      <c r="K35" s="189">
        <f t="shared" si="4"/>
        <v>48.888888888888886</v>
      </c>
    </row>
    <row r="36" spans="1:11">
      <c r="A36" s="191" t="s">
        <v>424</v>
      </c>
      <c r="B36" s="211">
        <v>53</v>
      </c>
      <c r="C36" s="211">
        <v>52</v>
      </c>
      <c r="D36" s="211">
        <v>2</v>
      </c>
      <c r="E36" s="211">
        <v>3</v>
      </c>
      <c r="F36" s="211">
        <v>56</v>
      </c>
      <c r="G36" s="211">
        <v>54</v>
      </c>
      <c r="H36" s="211"/>
      <c r="I36" s="187">
        <f t="shared" si="2"/>
        <v>1.9642857142857142</v>
      </c>
      <c r="J36" s="188">
        <f t="shared" si="3"/>
        <v>49.090909090909093</v>
      </c>
      <c r="K36" s="189">
        <f t="shared" si="4"/>
        <v>50.909090909090907</v>
      </c>
    </row>
    <row r="37" spans="1:11">
      <c r="A37" s="191" t="s">
        <v>292</v>
      </c>
      <c r="B37" s="211">
        <v>21</v>
      </c>
      <c r="C37" s="211">
        <v>77</v>
      </c>
      <c r="D37" s="211">
        <v>1</v>
      </c>
      <c r="E37" s="211">
        <v>0</v>
      </c>
      <c r="F37" s="211">
        <v>60</v>
      </c>
      <c r="G37" s="211">
        <v>39</v>
      </c>
      <c r="H37" s="211"/>
      <c r="I37" s="187">
        <f t="shared" si="2"/>
        <v>1.65</v>
      </c>
      <c r="J37" s="188">
        <f t="shared" si="3"/>
        <v>39.393939393939391</v>
      </c>
      <c r="K37" s="189">
        <f t="shared" si="4"/>
        <v>60.606060606060609</v>
      </c>
    </row>
    <row r="38" spans="1:11">
      <c r="A38" s="191" t="s">
        <v>293</v>
      </c>
      <c r="B38" s="211">
        <v>211</v>
      </c>
      <c r="C38" s="211">
        <v>312</v>
      </c>
      <c r="D38" s="211">
        <v>52</v>
      </c>
      <c r="E38" s="211">
        <v>0</v>
      </c>
      <c r="F38" s="211">
        <v>329</v>
      </c>
      <c r="G38" s="211">
        <v>246</v>
      </c>
      <c r="H38" s="211"/>
      <c r="I38" s="187">
        <f t="shared" si="2"/>
        <v>1.7477203647416413</v>
      </c>
      <c r="J38" s="188">
        <f t="shared" si="3"/>
        <v>42.782608695652172</v>
      </c>
      <c r="K38" s="189">
        <f t="shared" si="4"/>
        <v>57.217391304347828</v>
      </c>
    </row>
    <row r="39" spans="1:11">
      <c r="A39" s="194"/>
      <c r="B39" s="211"/>
      <c r="C39" s="211"/>
      <c r="D39" s="211"/>
      <c r="E39" s="211"/>
      <c r="F39" s="211"/>
      <c r="G39" s="211"/>
      <c r="H39" s="211"/>
      <c r="I39" s="187"/>
      <c r="J39" s="188"/>
      <c r="K39" s="189"/>
    </row>
    <row r="40" spans="1:11" s="220" customFormat="1" ht="20.399999999999999">
      <c r="A40" s="190" t="s">
        <v>294</v>
      </c>
      <c r="B40" s="170">
        <f t="shared" ref="B40:G40" si="9">SUM(B41:B43)</f>
        <v>1103</v>
      </c>
      <c r="C40" s="170">
        <f t="shared" si="9"/>
        <v>3733</v>
      </c>
      <c r="D40" s="170">
        <f t="shared" si="9"/>
        <v>66</v>
      </c>
      <c r="E40" s="170">
        <f t="shared" si="9"/>
        <v>13</v>
      </c>
      <c r="F40" s="170">
        <f t="shared" si="9"/>
        <v>3683</v>
      </c>
      <c r="G40" s="170">
        <f t="shared" si="9"/>
        <v>1232</v>
      </c>
      <c r="H40" s="170"/>
      <c r="I40" s="183">
        <f t="shared" si="2"/>
        <v>1.3345099103991311</v>
      </c>
      <c r="J40" s="184">
        <f t="shared" si="3"/>
        <v>25.066124109867754</v>
      </c>
      <c r="K40" s="185">
        <f t="shared" si="4"/>
        <v>74.933875890132256</v>
      </c>
    </row>
    <row r="41" spans="1:11">
      <c r="A41" s="191" t="s">
        <v>598</v>
      </c>
      <c r="B41" s="211">
        <v>845</v>
      </c>
      <c r="C41" s="211">
        <v>2398</v>
      </c>
      <c r="D41" s="211">
        <v>54</v>
      </c>
      <c r="E41" s="211">
        <v>0</v>
      </c>
      <c r="F41" s="211">
        <v>2351</v>
      </c>
      <c r="G41" s="211">
        <v>946</v>
      </c>
      <c r="H41" s="211"/>
      <c r="I41" s="187">
        <f t="shared" si="2"/>
        <v>1.402381965121225</v>
      </c>
      <c r="J41" s="188">
        <f t="shared" si="3"/>
        <v>28.692750985744613</v>
      </c>
      <c r="K41" s="189">
        <f t="shared" si="4"/>
        <v>71.307249014255376</v>
      </c>
    </row>
    <row r="42" spans="1:11">
      <c r="A42" s="191" t="s">
        <v>599</v>
      </c>
      <c r="B42" s="211">
        <v>189</v>
      </c>
      <c r="C42" s="211">
        <v>1137</v>
      </c>
      <c r="D42" s="211">
        <v>10</v>
      </c>
      <c r="E42" s="211">
        <v>12</v>
      </c>
      <c r="F42" s="211">
        <v>1185</v>
      </c>
      <c r="G42" s="211">
        <v>163</v>
      </c>
      <c r="H42" s="211"/>
      <c r="I42" s="187">
        <f t="shared" si="2"/>
        <v>1.1375527426160337</v>
      </c>
      <c r="J42" s="188">
        <f t="shared" si="3"/>
        <v>12.091988130563799</v>
      </c>
      <c r="K42" s="189">
        <f t="shared" si="4"/>
        <v>87.908011869436194</v>
      </c>
    </row>
    <row r="43" spans="1:11">
      <c r="A43" s="191" t="s">
        <v>299</v>
      </c>
      <c r="B43" s="211">
        <v>69</v>
      </c>
      <c r="C43" s="211">
        <v>198</v>
      </c>
      <c r="D43" s="211">
        <v>2</v>
      </c>
      <c r="E43" s="211">
        <v>1</v>
      </c>
      <c r="F43" s="211">
        <v>147</v>
      </c>
      <c r="G43" s="211">
        <v>123</v>
      </c>
      <c r="H43" s="211"/>
      <c r="I43" s="187">
        <f t="shared" si="2"/>
        <v>1.8367346938775511</v>
      </c>
      <c r="J43" s="188">
        <f t="shared" si="3"/>
        <v>45.555555555555557</v>
      </c>
      <c r="K43" s="189">
        <f t="shared" si="4"/>
        <v>54.444444444444443</v>
      </c>
    </row>
    <row r="44" spans="1:11">
      <c r="A44" s="195"/>
      <c r="B44" s="211"/>
      <c r="C44" s="211"/>
      <c r="D44" s="211"/>
      <c r="E44" s="211"/>
      <c r="F44" s="211"/>
      <c r="G44" s="211"/>
      <c r="H44" s="211"/>
      <c r="I44" s="187"/>
      <c r="J44" s="188"/>
      <c r="K44" s="189"/>
    </row>
    <row r="45" spans="1:11" s="220" customFormat="1" ht="20.399999999999999">
      <c r="A45" s="190" t="s">
        <v>303</v>
      </c>
      <c r="B45" s="170">
        <f t="shared" ref="B45:G45" si="10">SUM(B46:B50)</f>
        <v>3487</v>
      </c>
      <c r="C45" s="170">
        <f t="shared" si="10"/>
        <v>7179</v>
      </c>
      <c r="D45" s="170">
        <f t="shared" si="10"/>
        <v>48</v>
      </c>
      <c r="E45" s="170">
        <f t="shared" si="10"/>
        <v>25</v>
      </c>
      <c r="F45" s="170">
        <f t="shared" si="10"/>
        <v>7302</v>
      </c>
      <c r="G45" s="170">
        <f t="shared" si="10"/>
        <v>3437</v>
      </c>
      <c r="H45" s="170"/>
      <c r="I45" s="183">
        <f t="shared" si="2"/>
        <v>1.4706929608326487</v>
      </c>
      <c r="J45" s="184">
        <f t="shared" si="3"/>
        <v>32.004842164074866</v>
      </c>
      <c r="K45" s="185">
        <f t="shared" si="4"/>
        <v>67.995157835925141</v>
      </c>
    </row>
    <row r="46" spans="1:11">
      <c r="A46" s="191" t="s">
        <v>600</v>
      </c>
      <c r="B46" s="211">
        <v>3105</v>
      </c>
      <c r="C46" s="211">
        <v>6242</v>
      </c>
      <c r="D46" s="211">
        <v>34</v>
      </c>
      <c r="E46" s="211">
        <v>23</v>
      </c>
      <c r="F46" s="211">
        <v>6260</v>
      </c>
      <c r="G46" s="211">
        <v>3144</v>
      </c>
      <c r="H46" s="211"/>
      <c r="I46" s="187">
        <f t="shared" si="2"/>
        <v>1.5022364217252395</v>
      </c>
      <c r="J46" s="188">
        <f t="shared" si="3"/>
        <v>33.432581880051046</v>
      </c>
      <c r="K46" s="189">
        <f t="shared" si="4"/>
        <v>66.567418119948968</v>
      </c>
    </row>
    <row r="47" spans="1:11">
      <c r="A47" s="191" t="s">
        <v>309</v>
      </c>
      <c r="B47" s="211">
        <v>12</v>
      </c>
      <c r="C47" s="211">
        <v>94</v>
      </c>
      <c r="D47" s="211">
        <v>2</v>
      </c>
      <c r="E47" s="211">
        <v>1</v>
      </c>
      <c r="F47" s="211">
        <v>73</v>
      </c>
      <c r="G47" s="211">
        <v>36</v>
      </c>
      <c r="H47" s="216"/>
      <c r="I47" s="187">
        <f t="shared" si="2"/>
        <v>1.4931506849315068</v>
      </c>
      <c r="J47" s="188">
        <f t="shared" si="3"/>
        <v>33.027522935779821</v>
      </c>
      <c r="K47" s="189">
        <f t="shared" si="4"/>
        <v>66.972477064220186</v>
      </c>
    </row>
    <row r="48" spans="1:11">
      <c r="A48" s="191" t="s">
        <v>310</v>
      </c>
      <c r="B48" s="211">
        <v>323</v>
      </c>
      <c r="C48" s="211">
        <v>578</v>
      </c>
      <c r="D48" s="211">
        <v>1</v>
      </c>
      <c r="E48" s="211">
        <v>0</v>
      </c>
      <c r="F48" s="211">
        <v>695</v>
      </c>
      <c r="G48" s="211">
        <v>207</v>
      </c>
      <c r="H48" s="216"/>
      <c r="I48" s="187">
        <f t="shared" si="2"/>
        <v>1.297841726618705</v>
      </c>
      <c r="J48" s="188">
        <f t="shared" si="3"/>
        <v>22.9490022172949</v>
      </c>
      <c r="K48" s="189">
        <f t="shared" si="4"/>
        <v>77.050997782705096</v>
      </c>
    </row>
    <row r="49" spans="1:20">
      <c r="A49" s="191" t="s">
        <v>311</v>
      </c>
      <c r="B49" s="211">
        <v>18</v>
      </c>
      <c r="C49" s="211">
        <v>71</v>
      </c>
      <c r="D49" s="211">
        <v>6</v>
      </c>
      <c r="E49" s="211">
        <v>1</v>
      </c>
      <c r="F49" s="211">
        <v>75</v>
      </c>
      <c r="G49" s="211">
        <v>21</v>
      </c>
      <c r="H49" s="216"/>
      <c r="I49" s="187">
        <f t="shared" si="2"/>
        <v>1.28</v>
      </c>
      <c r="J49" s="188">
        <f t="shared" si="3"/>
        <v>21.875</v>
      </c>
      <c r="K49" s="189">
        <f t="shared" si="4"/>
        <v>78.125</v>
      </c>
    </row>
    <row r="50" spans="1:20">
      <c r="A50" s="191" t="s">
        <v>312</v>
      </c>
      <c r="B50" s="211">
        <v>29</v>
      </c>
      <c r="C50" s="211">
        <v>194</v>
      </c>
      <c r="D50" s="211">
        <v>5</v>
      </c>
      <c r="E50" s="211">
        <v>0</v>
      </c>
      <c r="F50" s="211">
        <v>199</v>
      </c>
      <c r="G50" s="211">
        <v>29</v>
      </c>
      <c r="H50" s="216"/>
      <c r="I50" s="187">
        <f t="shared" si="2"/>
        <v>1.1457286432160805</v>
      </c>
      <c r="J50" s="188">
        <f t="shared" si="3"/>
        <v>12.719298245614036</v>
      </c>
      <c r="K50" s="189">
        <f t="shared" si="4"/>
        <v>87.280701754385973</v>
      </c>
    </row>
    <row r="51" spans="1:20">
      <c r="A51" s="194"/>
      <c r="B51" s="211"/>
      <c r="C51" s="211"/>
      <c r="D51" s="211"/>
      <c r="E51" s="211"/>
      <c r="F51" s="211"/>
      <c r="G51" s="211"/>
      <c r="H51" s="216"/>
      <c r="I51" s="187"/>
      <c r="J51" s="188"/>
      <c r="K51" s="189"/>
    </row>
    <row r="52" spans="1:20" s="220" customFormat="1" ht="20.399999999999999">
      <c r="A52" s="190" t="s">
        <v>812</v>
      </c>
      <c r="B52" s="170">
        <f t="shared" ref="B52:G52" si="11">SUM(B53:B57)</f>
        <v>3445</v>
      </c>
      <c r="C52" s="170">
        <f t="shared" si="11"/>
        <v>10961</v>
      </c>
      <c r="D52" s="170">
        <f t="shared" si="11"/>
        <v>544</v>
      </c>
      <c r="E52" s="170">
        <f t="shared" si="11"/>
        <v>20</v>
      </c>
      <c r="F52" s="170">
        <f t="shared" si="11"/>
        <v>12125</v>
      </c>
      <c r="G52" s="170">
        <f t="shared" si="11"/>
        <v>2845</v>
      </c>
      <c r="H52" s="402"/>
      <c r="I52" s="183">
        <f t="shared" si="2"/>
        <v>1.2346391752577319</v>
      </c>
      <c r="J52" s="184">
        <f t="shared" si="3"/>
        <v>19.004676018704075</v>
      </c>
      <c r="K52" s="185">
        <f t="shared" si="4"/>
        <v>80.995323981295925</v>
      </c>
    </row>
    <row r="53" spans="1:20">
      <c r="A53" s="191" t="s">
        <v>601</v>
      </c>
      <c r="B53" s="211">
        <v>2329</v>
      </c>
      <c r="C53" s="211">
        <v>8402</v>
      </c>
      <c r="D53" s="211">
        <v>119</v>
      </c>
      <c r="E53" s="211">
        <v>17</v>
      </c>
      <c r="F53" s="211">
        <v>8785</v>
      </c>
      <c r="G53" s="211">
        <v>2082</v>
      </c>
      <c r="H53" s="216"/>
      <c r="I53" s="187">
        <f t="shared" si="2"/>
        <v>1.2369948776323278</v>
      </c>
      <c r="J53" s="188">
        <f t="shared" si="3"/>
        <v>19.158921505475295</v>
      </c>
      <c r="K53" s="189">
        <f t="shared" si="4"/>
        <v>80.841078494524709</v>
      </c>
      <c r="T53" s="220"/>
    </row>
    <row r="54" spans="1:20">
      <c r="A54" s="191" t="s">
        <v>815</v>
      </c>
      <c r="B54" s="211">
        <v>293</v>
      </c>
      <c r="C54" s="211">
        <v>1236</v>
      </c>
      <c r="D54" s="211">
        <v>22</v>
      </c>
      <c r="E54" s="211">
        <v>0</v>
      </c>
      <c r="F54" s="211">
        <v>1264</v>
      </c>
      <c r="G54" s="211">
        <v>287</v>
      </c>
      <c r="H54" s="216"/>
      <c r="I54" s="187">
        <f t="shared" si="2"/>
        <v>1.2270569620253164</v>
      </c>
      <c r="J54" s="188">
        <f t="shared" si="3"/>
        <v>18.504190844616378</v>
      </c>
      <c r="K54" s="189">
        <f t="shared" si="4"/>
        <v>81.495809155383625</v>
      </c>
      <c r="T54" s="220"/>
    </row>
    <row r="55" spans="1:20">
      <c r="A55" s="191" t="s">
        <v>816</v>
      </c>
      <c r="B55" s="211">
        <v>509</v>
      </c>
      <c r="C55" s="211">
        <v>470</v>
      </c>
      <c r="D55" s="211">
        <v>393</v>
      </c>
      <c r="E55" s="211">
        <v>0</v>
      </c>
      <c r="F55" s="211">
        <v>1190</v>
      </c>
      <c r="G55" s="211">
        <v>182</v>
      </c>
      <c r="H55" s="216"/>
      <c r="I55" s="187">
        <f t="shared" si="2"/>
        <v>1.1529411764705881</v>
      </c>
      <c r="J55" s="188">
        <f t="shared" si="3"/>
        <v>13.26530612244898</v>
      </c>
      <c r="K55" s="189">
        <f t="shared" si="4"/>
        <v>86.734693877551024</v>
      </c>
      <c r="T55" s="220"/>
    </row>
    <row r="56" spans="1:20">
      <c r="A56" s="191" t="s">
        <v>817</v>
      </c>
      <c r="B56" s="211">
        <v>74</v>
      </c>
      <c r="C56" s="211">
        <v>229</v>
      </c>
      <c r="D56" s="211">
        <v>4</v>
      </c>
      <c r="E56" s="211">
        <v>0</v>
      </c>
      <c r="F56" s="211">
        <v>258</v>
      </c>
      <c r="G56" s="211">
        <v>49</v>
      </c>
      <c r="H56" s="216"/>
      <c r="I56" s="187">
        <f t="shared" si="2"/>
        <v>1.1899224806201549</v>
      </c>
      <c r="J56" s="188">
        <f t="shared" si="3"/>
        <v>15.960912052117262</v>
      </c>
      <c r="K56" s="189">
        <f t="shared" si="4"/>
        <v>84.039087947882734</v>
      </c>
      <c r="T56" s="220"/>
    </row>
    <row r="57" spans="1:20">
      <c r="A57" s="191" t="s">
        <v>819</v>
      </c>
      <c r="B57" s="211">
        <v>240</v>
      </c>
      <c r="C57" s="211">
        <v>624</v>
      </c>
      <c r="D57" s="211">
        <v>6</v>
      </c>
      <c r="E57" s="211">
        <v>3</v>
      </c>
      <c r="F57" s="211">
        <v>628</v>
      </c>
      <c r="G57" s="211">
        <v>245</v>
      </c>
      <c r="H57" s="216"/>
      <c r="I57" s="187">
        <f t="shared" si="2"/>
        <v>1.3901273885350318</v>
      </c>
      <c r="J57" s="188">
        <f t="shared" si="3"/>
        <v>28.064146620847652</v>
      </c>
      <c r="K57" s="189">
        <f t="shared" si="4"/>
        <v>71.935853379152348</v>
      </c>
      <c r="T57" s="220"/>
    </row>
    <row r="58" spans="1:20">
      <c r="A58" s="194"/>
      <c r="B58" s="211"/>
      <c r="C58" s="211"/>
      <c r="D58" s="211"/>
      <c r="E58" s="211"/>
      <c r="F58" s="211"/>
      <c r="G58" s="211"/>
      <c r="H58" s="216"/>
      <c r="I58" s="187"/>
      <c r="J58" s="188"/>
      <c r="K58" s="189"/>
      <c r="T58" s="220"/>
    </row>
    <row r="59" spans="1:20" s="220" customFormat="1" ht="20.399999999999999">
      <c r="A59" s="190" t="s">
        <v>820</v>
      </c>
      <c r="B59" s="170">
        <f t="shared" ref="B59:G59" si="12">SUM(B60:B65)</f>
        <v>950</v>
      </c>
      <c r="C59" s="170">
        <f t="shared" si="12"/>
        <v>1787</v>
      </c>
      <c r="D59" s="170">
        <f t="shared" si="12"/>
        <v>81</v>
      </c>
      <c r="E59" s="170">
        <f t="shared" si="12"/>
        <v>2</v>
      </c>
      <c r="F59" s="170">
        <f t="shared" si="12"/>
        <v>1787</v>
      </c>
      <c r="G59" s="170">
        <f t="shared" si="12"/>
        <v>1033</v>
      </c>
      <c r="H59" s="402"/>
      <c r="I59" s="183">
        <f t="shared" si="2"/>
        <v>1.5780637940682709</v>
      </c>
      <c r="J59" s="184">
        <f t="shared" si="3"/>
        <v>36.631205673758863</v>
      </c>
      <c r="K59" s="185">
        <f t="shared" si="4"/>
        <v>63.368794326241144</v>
      </c>
    </row>
    <row r="60" spans="1:20">
      <c r="A60" s="191" t="s">
        <v>602</v>
      </c>
      <c r="B60" s="211">
        <v>548</v>
      </c>
      <c r="C60" s="211">
        <v>942</v>
      </c>
      <c r="D60" s="211">
        <v>13</v>
      </c>
      <c r="E60" s="211">
        <v>2</v>
      </c>
      <c r="F60" s="211">
        <v>866</v>
      </c>
      <c r="G60" s="211">
        <v>639</v>
      </c>
      <c r="H60" s="216"/>
      <c r="I60" s="187">
        <f t="shared" si="2"/>
        <v>1.7378752886836029</v>
      </c>
      <c r="J60" s="188">
        <f t="shared" si="3"/>
        <v>42.458471760797337</v>
      </c>
      <c r="K60" s="189">
        <f t="shared" si="4"/>
        <v>57.541528239202655</v>
      </c>
      <c r="T60" s="220"/>
    </row>
    <row r="61" spans="1:20">
      <c r="A61" s="191" t="s">
        <v>824</v>
      </c>
      <c r="B61" s="211">
        <v>106</v>
      </c>
      <c r="C61" s="211">
        <v>120</v>
      </c>
      <c r="D61" s="211">
        <v>9</v>
      </c>
      <c r="E61" s="211">
        <v>0</v>
      </c>
      <c r="F61" s="211">
        <v>204</v>
      </c>
      <c r="G61" s="211">
        <v>31</v>
      </c>
      <c r="H61" s="216"/>
      <c r="I61" s="187">
        <f t="shared" si="2"/>
        <v>1.1519607843137254</v>
      </c>
      <c r="J61" s="188">
        <f t="shared" si="3"/>
        <v>13.191489361702127</v>
      </c>
      <c r="K61" s="189">
        <f t="shared" si="4"/>
        <v>86.808510638297875</v>
      </c>
      <c r="T61" s="220"/>
    </row>
    <row r="62" spans="1:20">
      <c r="A62" s="191" t="s">
        <v>825</v>
      </c>
      <c r="B62" s="211">
        <v>41</v>
      </c>
      <c r="C62" s="211">
        <v>105</v>
      </c>
      <c r="D62" s="211">
        <v>35</v>
      </c>
      <c r="E62" s="211">
        <v>0</v>
      </c>
      <c r="F62" s="211">
        <v>111</v>
      </c>
      <c r="G62" s="211">
        <v>70</v>
      </c>
      <c r="H62" s="216"/>
      <c r="I62" s="187">
        <f t="shared" si="2"/>
        <v>1.6306306306306306</v>
      </c>
      <c r="J62" s="188">
        <f t="shared" si="3"/>
        <v>38.674033149171272</v>
      </c>
      <c r="K62" s="189">
        <f t="shared" si="4"/>
        <v>61.325966850828728</v>
      </c>
      <c r="T62" s="220"/>
    </row>
    <row r="63" spans="1:20">
      <c r="A63" s="191" t="s">
        <v>826</v>
      </c>
      <c r="B63" s="211">
        <v>95</v>
      </c>
      <c r="C63" s="211">
        <v>251</v>
      </c>
      <c r="D63" s="211">
        <v>12</v>
      </c>
      <c r="E63" s="211">
        <v>0</v>
      </c>
      <c r="F63" s="211">
        <v>271</v>
      </c>
      <c r="G63" s="211">
        <v>87</v>
      </c>
      <c r="H63" s="216"/>
      <c r="I63" s="187">
        <f t="shared" si="2"/>
        <v>1.3210332103321034</v>
      </c>
      <c r="J63" s="188">
        <f t="shared" si="3"/>
        <v>24.30167597765363</v>
      </c>
      <c r="K63" s="189">
        <f t="shared" si="4"/>
        <v>75.69832402234637</v>
      </c>
      <c r="T63" s="220"/>
    </row>
    <row r="64" spans="1:20">
      <c r="A64" s="191" t="s">
        <v>827</v>
      </c>
      <c r="B64" s="211">
        <v>22</v>
      </c>
      <c r="C64" s="211">
        <v>113</v>
      </c>
      <c r="D64" s="211">
        <v>12</v>
      </c>
      <c r="E64" s="211">
        <v>0</v>
      </c>
      <c r="F64" s="211">
        <v>114</v>
      </c>
      <c r="G64" s="211">
        <v>33</v>
      </c>
      <c r="H64" s="216"/>
      <c r="I64" s="187">
        <f t="shared" si="2"/>
        <v>1.2894736842105263</v>
      </c>
      <c r="J64" s="188">
        <f t="shared" si="3"/>
        <v>22.448979591836736</v>
      </c>
      <c r="K64" s="189">
        <f t="shared" si="4"/>
        <v>77.551020408163268</v>
      </c>
      <c r="T64" s="220"/>
    </row>
    <row r="65" spans="1:20">
      <c r="A65" s="191" t="s">
        <v>828</v>
      </c>
      <c r="B65" s="211">
        <v>138</v>
      </c>
      <c r="C65" s="211">
        <v>256</v>
      </c>
      <c r="D65" s="211">
        <v>0</v>
      </c>
      <c r="E65" s="211">
        <v>0</v>
      </c>
      <c r="F65" s="211">
        <v>221</v>
      </c>
      <c r="G65" s="211">
        <v>173</v>
      </c>
      <c r="H65" s="216"/>
      <c r="I65" s="187">
        <f t="shared" si="2"/>
        <v>1.7828054298642535</v>
      </c>
      <c r="J65" s="188">
        <f t="shared" si="3"/>
        <v>43.908629441624363</v>
      </c>
      <c r="K65" s="189">
        <f t="shared" si="4"/>
        <v>56.09137055837563</v>
      </c>
      <c r="T65" s="220"/>
    </row>
    <row r="66" spans="1:20">
      <c r="A66" s="194"/>
      <c r="B66" s="211"/>
      <c r="C66" s="211"/>
      <c r="D66" s="211"/>
      <c r="E66" s="211"/>
      <c r="F66" s="211"/>
      <c r="G66" s="211"/>
      <c r="H66" s="216"/>
      <c r="I66" s="187"/>
      <c r="J66" s="188"/>
      <c r="K66" s="189"/>
      <c r="T66" s="220"/>
    </row>
    <row r="67" spans="1:20" s="220" customFormat="1" ht="20.399999999999999">
      <c r="A67" s="190" t="s">
        <v>829</v>
      </c>
      <c r="B67" s="170">
        <f t="shared" ref="B67:G67" si="13">SUM(B68:B73)</f>
        <v>517</v>
      </c>
      <c r="C67" s="170">
        <f t="shared" si="13"/>
        <v>1431</v>
      </c>
      <c r="D67" s="170">
        <f t="shared" si="13"/>
        <v>50</v>
      </c>
      <c r="E67" s="170">
        <f t="shared" si="13"/>
        <v>0</v>
      </c>
      <c r="F67" s="170">
        <f t="shared" si="13"/>
        <v>1532</v>
      </c>
      <c r="G67" s="170">
        <f t="shared" si="13"/>
        <v>466</v>
      </c>
      <c r="H67" s="402"/>
      <c r="I67" s="183">
        <f t="shared" si="2"/>
        <v>1.304177545691906</v>
      </c>
      <c r="J67" s="184">
        <f t="shared" si="3"/>
        <v>23.323323323323322</v>
      </c>
      <c r="K67" s="185">
        <f t="shared" si="4"/>
        <v>76.676676676676678</v>
      </c>
    </row>
    <row r="68" spans="1:20">
      <c r="A68" s="191" t="s">
        <v>603</v>
      </c>
      <c r="B68" s="211">
        <v>153</v>
      </c>
      <c r="C68" s="211">
        <v>491</v>
      </c>
      <c r="D68" s="211">
        <v>1</v>
      </c>
      <c r="E68" s="211">
        <v>0</v>
      </c>
      <c r="F68" s="211">
        <v>458</v>
      </c>
      <c r="G68" s="211">
        <v>187</v>
      </c>
      <c r="H68" s="216"/>
      <c r="I68" s="187">
        <f t="shared" si="2"/>
        <v>1.4082969432314409</v>
      </c>
      <c r="J68" s="188">
        <f t="shared" si="3"/>
        <v>28.992248062015502</v>
      </c>
      <c r="K68" s="189">
        <f t="shared" si="4"/>
        <v>71.007751937984494</v>
      </c>
      <c r="T68" s="220"/>
    </row>
    <row r="69" spans="1:20">
      <c r="A69" s="191" t="s">
        <v>604</v>
      </c>
      <c r="B69" s="211">
        <v>243</v>
      </c>
      <c r="C69" s="211">
        <v>581</v>
      </c>
      <c r="D69" s="211">
        <v>5</v>
      </c>
      <c r="E69" s="211">
        <v>0</v>
      </c>
      <c r="F69" s="211">
        <v>679</v>
      </c>
      <c r="G69" s="211">
        <v>150</v>
      </c>
      <c r="H69" s="216"/>
      <c r="I69" s="187">
        <f t="shared" si="2"/>
        <v>1.2209131075110458</v>
      </c>
      <c r="J69" s="188">
        <f t="shared" si="3"/>
        <v>18.094089264173704</v>
      </c>
      <c r="K69" s="189">
        <f t="shared" si="4"/>
        <v>81.905910735826296</v>
      </c>
      <c r="T69" s="220"/>
    </row>
    <row r="70" spans="1:20">
      <c r="A70" s="191" t="s">
        <v>832</v>
      </c>
      <c r="B70" s="211">
        <v>8</v>
      </c>
      <c r="C70" s="211">
        <v>30</v>
      </c>
      <c r="D70" s="211">
        <v>3</v>
      </c>
      <c r="E70" s="211">
        <v>0</v>
      </c>
      <c r="F70" s="211">
        <v>36</v>
      </c>
      <c r="G70" s="211">
        <v>5</v>
      </c>
      <c r="H70" s="216"/>
      <c r="I70" s="187">
        <f t="shared" si="2"/>
        <v>1.1388888888888888</v>
      </c>
      <c r="J70" s="188">
        <f t="shared" si="3"/>
        <v>12.195121951219512</v>
      </c>
      <c r="K70" s="189">
        <f t="shared" si="4"/>
        <v>87.804878048780495</v>
      </c>
      <c r="T70" s="220"/>
    </row>
    <row r="71" spans="1:20">
      <c r="A71" s="191" t="s">
        <v>833</v>
      </c>
      <c r="B71" s="211">
        <v>101</v>
      </c>
      <c r="C71" s="211">
        <v>275</v>
      </c>
      <c r="D71" s="211">
        <v>32</v>
      </c>
      <c r="E71" s="211">
        <v>0</v>
      </c>
      <c r="F71" s="211">
        <v>294</v>
      </c>
      <c r="G71" s="211">
        <v>114</v>
      </c>
      <c r="H71" s="216"/>
      <c r="I71" s="187">
        <f t="shared" si="2"/>
        <v>1.3877551020408163</v>
      </c>
      <c r="J71" s="188">
        <f t="shared" si="3"/>
        <v>27.941176470588236</v>
      </c>
      <c r="K71" s="189">
        <f t="shared" si="4"/>
        <v>72.058823529411768</v>
      </c>
      <c r="T71" s="220"/>
    </row>
    <row r="72" spans="1:20">
      <c r="A72" s="191" t="s">
        <v>834</v>
      </c>
      <c r="B72" s="211">
        <v>6</v>
      </c>
      <c r="C72" s="211">
        <v>27</v>
      </c>
      <c r="D72" s="211">
        <v>2</v>
      </c>
      <c r="E72" s="211">
        <v>0</v>
      </c>
      <c r="F72" s="211">
        <v>30</v>
      </c>
      <c r="G72" s="211">
        <v>5</v>
      </c>
      <c r="H72" s="216"/>
      <c r="I72" s="187">
        <f t="shared" si="2"/>
        <v>1.1666666666666667</v>
      </c>
      <c r="J72" s="188">
        <f t="shared" si="3"/>
        <v>14.285714285714285</v>
      </c>
      <c r="K72" s="189">
        <f t="shared" si="4"/>
        <v>85.714285714285708</v>
      </c>
      <c r="T72" s="220"/>
    </row>
    <row r="73" spans="1:20">
      <c r="A73" s="191" t="s">
        <v>835</v>
      </c>
      <c r="B73" s="211">
        <v>6</v>
      </c>
      <c r="C73" s="211">
        <v>27</v>
      </c>
      <c r="D73" s="211">
        <v>7</v>
      </c>
      <c r="E73" s="211">
        <v>0</v>
      </c>
      <c r="F73" s="211">
        <v>35</v>
      </c>
      <c r="G73" s="211">
        <v>5</v>
      </c>
      <c r="H73" s="216"/>
      <c r="I73" s="187">
        <f t="shared" si="2"/>
        <v>1.1428571428571428</v>
      </c>
      <c r="J73" s="188">
        <f t="shared" si="3"/>
        <v>12.5</v>
      </c>
      <c r="K73" s="189">
        <f t="shared" si="4"/>
        <v>87.5</v>
      </c>
      <c r="T73" s="220"/>
    </row>
    <row r="74" spans="1:20">
      <c r="A74" s="194"/>
      <c r="B74" s="211"/>
      <c r="C74" s="211"/>
      <c r="D74" s="211"/>
      <c r="E74" s="211"/>
      <c r="F74" s="211"/>
      <c r="G74" s="211"/>
      <c r="H74" s="216"/>
      <c r="I74" s="187"/>
      <c r="J74" s="188"/>
      <c r="K74" s="189"/>
    </row>
    <row r="75" spans="1:20" s="220" customFormat="1" ht="20.399999999999999">
      <c r="A75" s="190" t="s">
        <v>836</v>
      </c>
      <c r="B75" s="170">
        <f t="shared" ref="B75:G75" si="14">SUM(B76:B81)</f>
        <v>1678</v>
      </c>
      <c r="C75" s="170">
        <f t="shared" si="14"/>
        <v>3291</v>
      </c>
      <c r="D75" s="170">
        <f t="shared" si="14"/>
        <v>72</v>
      </c>
      <c r="E75" s="170">
        <f t="shared" si="14"/>
        <v>0</v>
      </c>
      <c r="F75" s="170">
        <f t="shared" si="14"/>
        <v>3729</v>
      </c>
      <c r="G75" s="170">
        <f t="shared" si="14"/>
        <v>1312</v>
      </c>
      <c r="H75" s="402"/>
      <c r="I75" s="183">
        <f t="shared" ref="I75:I99" si="15">SUM(B75:E75)/F75</f>
        <v>1.3518369536068651</v>
      </c>
      <c r="J75" s="184">
        <f t="shared" ref="J75:J99" si="16">(G75/SUM(B75:E75))*100</f>
        <v>26.026582027375522</v>
      </c>
      <c r="K75" s="185">
        <f t="shared" ref="K75:K99" si="17">(F75/SUM(B75:E75))*100</f>
        <v>73.973417972624475</v>
      </c>
    </row>
    <row r="76" spans="1:20" s="220" customFormat="1">
      <c r="A76" s="191" t="s">
        <v>605</v>
      </c>
      <c r="B76" s="211">
        <v>843</v>
      </c>
      <c r="C76" s="211">
        <v>2019</v>
      </c>
      <c r="D76" s="211">
        <v>18</v>
      </c>
      <c r="E76" s="211">
        <v>0</v>
      </c>
      <c r="F76" s="211">
        <v>2283</v>
      </c>
      <c r="G76" s="211">
        <v>597</v>
      </c>
      <c r="H76" s="216"/>
      <c r="I76" s="187">
        <f t="shared" si="15"/>
        <v>1.2614980289093298</v>
      </c>
      <c r="J76" s="188">
        <f t="shared" si="16"/>
        <v>20.729166666666668</v>
      </c>
      <c r="K76" s="189">
        <f t="shared" si="17"/>
        <v>79.270833333333329</v>
      </c>
    </row>
    <row r="77" spans="1:20">
      <c r="A77" s="191" t="s">
        <v>704</v>
      </c>
      <c r="B77" s="211">
        <v>391</v>
      </c>
      <c r="C77" s="211">
        <v>560</v>
      </c>
      <c r="D77" s="211">
        <v>30</v>
      </c>
      <c r="E77" s="211">
        <v>0</v>
      </c>
      <c r="F77" s="211">
        <v>542</v>
      </c>
      <c r="G77" s="211">
        <v>439</v>
      </c>
      <c r="H77" s="216"/>
      <c r="I77" s="187">
        <f t="shared" si="15"/>
        <v>1.8099630996309963</v>
      </c>
      <c r="J77" s="188">
        <f t="shared" si="16"/>
        <v>44.750254841997958</v>
      </c>
      <c r="K77" s="189">
        <f t="shared" si="17"/>
        <v>55.249745158002042</v>
      </c>
    </row>
    <row r="78" spans="1:20">
      <c r="A78" s="191" t="s">
        <v>844</v>
      </c>
      <c r="B78" s="211">
        <v>64</v>
      </c>
      <c r="C78" s="211">
        <v>120</v>
      </c>
      <c r="D78" s="211">
        <v>11</v>
      </c>
      <c r="E78" s="211">
        <v>0</v>
      </c>
      <c r="F78" s="211">
        <v>142</v>
      </c>
      <c r="G78" s="211">
        <v>53</v>
      </c>
      <c r="H78" s="216"/>
      <c r="I78" s="187">
        <f t="shared" si="15"/>
        <v>1.3732394366197183</v>
      </c>
      <c r="J78" s="188">
        <f t="shared" si="16"/>
        <v>27.179487179487179</v>
      </c>
      <c r="K78" s="189">
        <f t="shared" si="17"/>
        <v>72.820512820512818</v>
      </c>
    </row>
    <row r="79" spans="1:20">
      <c r="A79" s="191" t="s">
        <v>842</v>
      </c>
      <c r="B79" s="211">
        <v>221</v>
      </c>
      <c r="C79" s="211">
        <v>384</v>
      </c>
      <c r="D79" s="211">
        <v>6</v>
      </c>
      <c r="E79" s="211">
        <v>0</v>
      </c>
      <c r="F79" s="211">
        <v>475</v>
      </c>
      <c r="G79" s="211">
        <v>136</v>
      </c>
      <c r="H79" s="216"/>
      <c r="I79" s="187">
        <f t="shared" si="15"/>
        <v>1.2863157894736843</v>
      </c>
      <c r="J79" s="188">
        <f t="shared" si="16"/>
        <v>22.25859247135843</v>
      </c>
      <c r="K79" s="189">
        <f t="shared" si="17"/>
        <v>77.741407528641574</v>
      </c>
    </row>
    <row r="80" spans="1:20">
      <c r="A80" s="191" t="s">
        <v>843</v>
      </c>
      <c r="B80" s="211">
        <v>154</v>
      </c>
      <c r="C80" s="211">
        <v>190</v>
      </c>
      <c r="D80" s="211">
        <v>6</v>
      </c>
      <c r="E80" s="211">
        <v>0</v>
      </c>
      <c r="F80" s="211">
        <v>267</v>
      </c>
      <c r="G80" s="211">
        <v>83</v>
      </c>
      <c r="H80" s="216"/>
      <c r="I80" s="187">
        <f t="shared" si="15"/>
        <v>1.3108614232209739</v>
      </c>
      <c r="J80" s="188">
        <f t="shared" si="16"/>
        <v>23.714285714285715</v>
      </c>
      <c r="K80" s="189">
        <f t="shared" si="17"/>
        <v>76.285714285714292</v>
      </c>
    </row>
    <row r="81" spans="1:11">
      <c r="A81" s="191" t="s">
        <v>431</v>
      </c>
      <c r="B81" s="211">
        <v>5</v>
      </c>
      <c r="C81" s="211">
        <v>18</v>
      </c>
      <c r="D81" s="211">
        <v>1</v>
      </c>
      <c r="E81" s="211">
        <v>0</v>
      </c>
      <c r="F81" s="211">
        <v>20</v>
      </c>
      <c r="G81" s="211">
        <v>4</v>
      </c>
      <c r="H81" s="216"/>
      <c r="I81" s="187">
        <f t="shared" si="15"/>
        <v>1.2</v>
      </c>
      <c r="J81" s="188">
        <f t="shared" si="16"/>
        <v>16.666666666666664</v>
      </c>
      <c r="K81" s="189">
        <f t="shared" si="17"/>
        <v>83.333333333333343</v>
      </c>
    </row>
    <row r="82" spans="1:11">
      <c r="A82" s="191"/>
      <c r="B82" s="211"/>
      <c r="C82" s="211"/>
      <c r="D82" s="211"/>
      <c r="E82" s="211"/>
      <c r="F82" s="211"/>
      <c r="G82" s="211"/>
      <c r="H82" s="216"/>
      <c r="I82" s="187"/>
      <c r="J82" s="188"/>
      <c r="K82" s="189"/>
    </row>
    <row r="83" spans="1:11" s="220" customFormat="1" ht="20.399999999999999">
      <c r="A83" s="190" t="s">
        <v>845</v>
      </c>
      <c r="B83" s="170">
        <f t="shared" ref="B83:G83" si="18">SUM(B84:B85)</f>
        <v>305</v>
      </c>
      <c r="C83" s="170">
        <f t="shared" si="18"/>
        <v>1938</v>
      </c>
      <c r="D83" s="170">
        <f t="shared" si="18"/>
        <v>20</v>
      </c>
      <c r="E83" s="170">
        <f t="shared" si="18"/>
        <v>0</v>
      </c>
      <c r="F83" s="170">
        <f t="shared" si="18"/>
        <v>1776</v>
      </c>
      <c r="G83" s="170">
        <f t="shared" si="18"/>
        <v>487</v>
      </c>
      <c r="H83" s="402"/>
      <c r="I83" s="183">
        <f t="shared" si="15"/>
        <v>1.2742117117117118</v>
      </c>
      <c r="J83" s="184">
        <f t="shared" si="16"/>
        <v>21.520106053910737</v>
      </c>
      <c r="K83" s="185">
        <f t="shared" si="17"/>
        <v>78.479893946089263</v>
      </c>
    </row>
    <row r="84" spans="1:11">
      <c r="A84" s="191" t="s">
        <v>606</v>
      </c>
      <c r="B84" s="211">
        <v>268</v>
      </c>
      <c r="C84" s="211">
        <v>1744</v>
      </c>
      <c r="D84" s="211">
        <v>16</v>
      </c>
      <c r="E84" s="211">
        <v>0</v>
      </c>
      <c r="F84" s="211">
        <v>1589</v>
      </c>
      <c r="G84" s="211">
        <v>439</v>
      </c>
      <c r="H84" s="216"/>
      <c r="I84" s="187">
        <f t="shared" si="15"/>
        <v>1.2762743864065449</v>
      </c>
      <c r="J84" s="188">
        <f t="shared" si="16"/>
        <v>21.646942800788953</v>
      </c>
      <c r="K84" s="189">
        <f t="shared" si="17"/>
        <v>78.353057199211037</v>
      </c>
    </row>
    <row r="85" spans="1:11">
      <c r="A85" s="191" t="s">
        <v>848</v>
      </c>
      <c r="B85" s="211">
        <v>37</v>
      </c>
      <c r="C85" s="211">
        <v>194</v>
      </c>
      <c r="D85" s="211">
        <v>4</v>
      </c>
      <c r="E85" s="211">
        <v>0</v>
      </c>
      <c r="F85" s="211">
        <v>187</v>
      </c>
      <c r="G85" s="211">
        <v>48</v>
      </c>
      <c r="H85" s="216"/>
      <c r="I85" s="187">
        <f t="shared" si="15"/>
        <v>1.2566844919786095</v>
      </c>
      <c r="J85" s="188">
        <f t="shared" si="16"/>
        <v>20.425531914893615</v>
      </c>
      <c r="K85" s="189">
        <f t="shared" si="17"/>
        <v>79.574468085106389</v>
      </c>
    </row>
    <row r="86" spans="1:11">
      <c r="A86" s="194"/>
      <c r="B86" s="211"/>
      <c r="C86" s="211"/>
      <c r="D86" s="211"/>
      <c r="E86" s="211"/>
      <c r="F86" s="211"/>
      <c r="G86" s="211"/>
      <c r="H86" s="216"/>
      <c r="I86" s="187"/>
      <c r="J86" s="188"/>
      <c r="K86" s="189"/>
    </row>
    <row r="87" spans="1:11" s="220" customFormat="1" ht="20.399999999999999">
      <c r="A87" s="190" t="s">
        <v>849</v>
      </c>
      <c r="B87" s="170">
        <f t="shared" ref="B87:G87" si="19">SUM(B88:B92)</f>
        <v>374</v>
      </c>
      <c r="C87" s="170">
        <f t="shared" si="19"/>
        <v>1162</v>
      </c>
      <c r="D87" s="170">
        <f t="shared" si="19"/>
        <v>31</v>
      </c>
      <c r="E87" s="170">
        <f t="shared" si="19"/>
        <v>0</v>
      </c>
      <c r="F87" s="170">
        <f t="shared" si="19"/>
        <v>1174</v>
      </c>
      <c r="G87" s="170">
        <f t="shared" si="19"/>
        <v>393</v>
      </c>
      <c r="H87" s="402"/>
      <c r="I87" s="183">
        <f t="shared" si="15"/>
        <v>1.3347529812606473</v>
      </c>
      <c r="J87" s="184">
        <f t="shared" si="16"/>
        <v>25.079770261646456</v>
      </c>
      <c r="K87" s="185">
        <f t="shared" si="17"/>
        <v>74.920229738353541</v>
      </c>
    </row>
    <row r="88" spans="1:11">
      <c r="A88" s="191" t="s">
        <v>855</v>
      </c>
      <c r="B88" s="211">
        <v>136</v>
      </c>
      <c r="C88" s="211">
        <v>352</v>
      </c>
      <c r="D88" s="211">
        <v>11</v>
      </c>
      <c r="E88" s="211">
        <v>0</v>
      </c>
      <c r="F88" s="211">
        <v>380</v>
      </c>
      <c r="G88" s="211">
        <v>119</v>
      </c>
      <c r="H88" s="216"/>
      <c r="I88" s="187">
        <f t="shared" si="15"/>
        <v>1.3131578947368421</v>
      </c>
      <c r="J88" s="188">
        <f t="shared" si="16"/>
        <v>23.847695390781563</v>
      </c>
      <c r="K88" s="189">
        <f t="shared" si="17"/>
        <v>76.152304609218433</v>
      </c>
    </row>
    <row r="89" spans="1:11">
      <c r="A89" s="191" t="s">
        <v>607</v>
      </c>
      <c r="B89" s="211">
        <v>132</v>
      </c>
      <c r="C89" s="211">
        <v>200</v>
      </c>
      <c r="D89" s="211">
        <v>0</v>
      </c>
      <c r="E89" s="211">
        <v>0</v>
      </c>
      <c r="F89" s="211">
        <v>237</v>
      </c>
      <c r="G89" s="211">
        <v>95</v>
      </c>
      <c r="H89" s="216"/>
      <c r="I89" s="187">
        <f t="shared" si="15"/>
        <v>1.4008438818565401</v>
      </c>
      <c r="J89" s="188">
        <f t="shared" si="16"/>
        <v>28.614457831325304</v>
      </c>
      <c r="K89" s="189">
        <f t="shared" si="17"/>
        <v>71.385542168674704</v>
      </c>
    </row>
    <row r="90" spans="1:11">
      <c r="A90" s="191" t="s">
        <v>854</v>
      </c>
      <c r="B90" s="211">
        <v>63</v>
      </c>
      <c r="C90" s="211">
        <v>422</v>
      </c>
      <c r="D90" s="211">
        <v>18</v>
      </c>
      <c r="E90" s="211">
        <v>0</v>
      </c>
      <c r="F90" s="211">
        <v>383</v>
      </c>
      <c r="G90" s="211">
        <v>120</v>
      </c>
      <c r="H90" s="216"/>
      <c r="I90" s="187">
        <f t="shared" si="15"/>
        <v>1.3133159268929504</v>
      </c>
      <c r="J90" s="188">
        <f t="shared" si="16"/>
        <v>23.856858846918488</v>
      </c>
      <c r="K90" s="189">
        <f t="shared" si="17"/>
        <v>76.143141153081501</v>
      </c>
    </row>
    <row r="91" spans="1:11">
      <c r="A91" s="191" t="s">
        <v>608</v>
      </c>
      <c r="B91" s="211">
        <v>38</v>
      </c>
      <c r="C91" s="211">
        <v>162</v>
      </c>
      <c r="D91" s="211">
        <v>2</v>
      </c>
      <c r="E91" s="211">
        <v>0</v>
      </c>
      <c r="F91" s="211">
        <v>162</v>
      </c>
      <c r="G91" s="211">
        <v>40</v>
      </c>
      <c r="H91" s="216"/>
      <c r="I91" s="187">
        <f t="shared" si="15"/>
        <v>1.2469135802469136</v>
      </c>
      <c r="J91" s="188">
        <f t="shared" si="16"/>
        <v>19.801980198019802</v>
      </c>
      <c r="K91" s="189">
        <f t="shared" si="17"/>
        <v>80.198019801980209</v>
      </c>
    </row>
    <row r="92" spans="1:11">
      <c r="A92" s="191" t="s">
        <v>433</v>
      </c>
      <c r="B92" s="211">
        <v>5</v>
      </c>
      <c r="C92" s="211">
        <v>26</v>
      </c>
      <c r="D92" s="211">
        <v>0</v>
      </c>
      <c r="E92" s="211">
        <v>0</v>
      </c>
      <c r="F92" s="211">
        <v>12</v>
      </c>
      <c r="G92" s="211">
        <v>19</v>
      </c>
      <c r="H92" s="216"/>
      <c r="I92" s="187">
        <f t="shared" si="15"/>
        <v>2.5833333333333335</v>
      </c>
      <c r="J92" s="188">
        <f t="shared" si="16"/>
        <v>61.29032258064516</v>
      </c>
      <c r="K92" s="189">
        <f t="shared" si="17"/>
        <v>38.70967741935484</v>
      </c>
    </row>
    <row r="93" spans="1:11">
      <c r="A93" s="357"/>
      <c r="B93" s="211"/>
      <c r="C93" s="211"/>
      <c r="D93" s="211"/>
      <c r="E93" s="211"/>
      <c r="F93" s="211"/>
      <c r="G93" s="211"/>
      <c r="H93" s="216"/>
      <c r="I93" s="187"/>
      <c r="J93" s="188"/>
      <c r="K93" s="189"/>
    </row>
    <row r="94" spans="1:11" s="220" customFormat="1" ht="20.399999999999999">
      <c r="A94" s="190" t="s">
        <v>857</v>
      </c>
      <c r="B94" s="170">
        <f t="shared" ref="B94:G94" si="20">SUM(B95:B96)</f>
        <v>446</v>
      </c>
      <c r="C94" s="170">
        <f t="shared" si="20"/>
        <v>1808</v>
      </c>
      <c r="D94" s="170">
        <f t="shared" si="20"/>
        <v>10</v>
      </c>
      <c r="E94" s="170">
        <f t="shared" si="20"/>
        <v>0</v>
      </c>
      <c r="F94" s="170">
        <f t="shared" si="20"/>
        <v>1632</v>
      </c>
      <c r="G94" s="170">
        <f t="shared" si="20"/>
        <v>632</v>
      </c>
      <c r="H94" s="402"/>
      <c r="I94" s="183">
        <f t="shared" si="15"/>
        <v>1.3872549019607843</v>
      </c>
      <c r="J94" s="184">
        <f t="shared" si="16"/>
        <v>27.915194346289752</v>
      </c>
      <c r="K94" s="185">
        <f t="shared" si="17"/>
        <v>72.084805653710248</v>
      </c>
    </row>
    <row r="95" spans="1:11">
      <c r="A95" s="191" t="s">
        <v>609</v>
      </c>
      <c r="B95" s="211">
        <v>351</v>
      </c>
      <c r="C95" s="211">
        <v>1651</v>
      </c>
      <c r="D95" s="211">
        <v>10</v>
      </c>
      <c r="E95" s="211">
        <v>0</v>
      </c>
      <c r="F95" s="211">
        <v>1492</v>
      </c>
      <c r="G95" s="211">
        <v>520</v>
      </c>
      <c r="H95" s="216"/>
      <c r="I95" s="187">
        <f t="shared" si="15"/>
        <v>1.3485254691689008</v>
      </c>
      <c r="J95" s="188">
        <f t="shared" si="16"/>
        <v>25.844930417495032</v>
      </c>
      <c r="K95" s="189">
        <f t="shared" si="17"/>
        <v>74.155069582504979</v>
      </c>
    </row>
    <row r="96" spans="1:11">
      <c r="A96" s="191" t="s">
        <v>858</v>
      </c>
      <c r="B96" s="211">
        <v>95</v>
      </c>
      <c r="C96" s="211">
        <v>157</v>
      </c>
      <c r="D96" s="211">
        <v>0</v>
      </c>
      <c r="E96" s="211">
        <v>0</v>
      </c>
      <c r="F96" s="211">
        <v>140</v>
      </c>
      <c r="G96" s="211">
        <v>112</v>
      </c>
      <c r="H96" s="216"/>
      <c r="I96" s="187">
        <f t="shared" si="15"/>
        <v>1.8</v>
      </c>
      <c r="J96" s="188">
        <f t="shared" si="16"/>
        <v>44.444444444444443</v>
      </c>
      <c r="K96" s="189">
        <f t="shared" si="17"/>
        <v>55.555555555555557</v>
      </c>
    </row>
    <row r="97" spans="1:11" s="152" customFormat="1">
      <c r="A97" s="213"/>
      <c r="B97" s="211"/>
      <c r="C97" s="211"/>
      <c r="D97" s="211"/>
      <c r="E97" s="211"/>
      <c r="F97" s="211"/>
      <c r="G97" s="211"/>
      <c r="H97" s="216"/>
      <c r="I97" s="187"/>
      <c r="J97" s="188"/>
      <c r="K97" s="189"/>
    </row>
    <row r="98" spans="1:11" s="153" customFormat="1" ht="20.399999999999999">
      <c r="A98" s="215" t="s">
        <v>860</v>
      </c>
      <c r="B98" s="170">
        <f t="shared" ref="B98:G98" si="21">SUM(B99)</f>
        <v>544</v>
      </c>
      <c r="C98" s="170">
        <f t="shared" si="21"/>
        <v>2029</v>
      </c>
      <c r="D98" s="170">
        <f t="shared" si="21"/>
        <v>30</v>
      </c>
      <c r="E98" s="170">
        <f t="shared" si="21"/>
        <v>4</v>
      </c>
      <c r="F98" s="170">
        <f t="shared" si="21"/>
        <v>1821</v>
      </c>
      <c r="G98" s="170">
        <f t="shared" si="21"/>
        <v>786</v>
      </c>
      <c r="H98" s="402"/>
      <c r="I98" s="183">
        <f t="shared" si="15"/>
        <v>1.4316309719934102</v>
      </c>
      <c r="J98" s="184">
        <f t="shared" si="16"/>
        <v>30.149597238204834</v>
      </c>
      <c r="K98" s="185">
        <f t="shared" si="17"/>
        <v>69.850402761795166</v>
      </c>
    </row>
    <row r="99" spans="1:11" s="152" customFormat="1">
      <c r="A99" s="191" t="s">
        <v>1035</v>
      </c>
      <c r="B99" s="211">
        <v>544</v>
      </c>
      <c r="C99" s="211">
        <v>2029</v>
      </c>
      <c r="D99" s="211">
        <v>30</v>
      </c>
      <c r="E99" s="211">
        <v>4</v>
      </c>
      <c r="F99" s="211">
        <v>1821</v>
      </c>
      <c r="G99" s="211">
        <v>786</v>
      </c>
      <c r="H99" s="216"/>
      <c r="I99" s="187">
        <f t="shared" si="15"/>
        <v>1.4316309719934102</v>
      </c>
      <c r="J99" s="188">
        <f t="shared" si="16"/>
        <v>30.149597238204834</v>
      </c>
      <c r="K99" s="189">
        <f t="shared" si="17"/>
        <v>69.850402761795166</v>
      </c>
    </row>
    <row r="100" spans="1:11" s="338" customFormat="1">
      <c r="A100" s="339"/>
      <c r="B100" s="340"/>
      <c r="C100" s="340"/>
      <c r="D100" s="340"/>
      <c r="E100" s="340"/>
      <c r="F100" s="340"/>
      <c r="G100" s="340"/>
      <c r="H100" s="218"/>
      <c r="I100" s="218"/>
      <c r="J100" s="218"/>
      <c r="K100" s="218"/>
    </row>
    <row r="101" spans="1:11">
      <c r="A101" s="39" t="s">
        <v>1072</v>
      </c>
      <c r="B101" s="152"/>
      <c r="C101" s="152"/>
      <c r="D101" s="152"/>
      <c r="E101" s="152"/>
      <c r="F101" s="152"/>
    </row>
    <row r="102" spans="1:11" ht="23.25" customHeight="1"/>
  </sheetData>
  <sheetProtection selectLockedCells="1" selectUnlockedCells="1"/>
  <mergeCells count="3">
    <mergeCell ref="A3:K3"/>
    <mergeCell ref="B5:G5"/>
    <mergeCell ref="I5:K5"/>
  </mergeCells>
  <phoneticPr fontId="0" type="noConversion"/>
  <dataValidations count="2">
    <dataValidation type="whole" operator="equal" allowBlank="1" showInputMessage="1" showErrorMessage="1" errorTitle="Error:" error="Balance en materia de Tránsito no coincide con el dato indicado." sqref="B58">
      <formula1>+#REF!+#REF!+#REF!-#REF!</formula1>
    </dataValidation>
    <dataValidation type="whole" operator="equal" allowBlank="1" showInputMessage="1" showErrorMessage="1" errorTitle="Error:" error="Balance en materia de Tránsito no coincide con el dato indicado." sqref="G74 G32">
      <formula1>+XFD32+#REF!+A32-#REF!</formula1>
    </dataValidation>
  </dataValidations>
  <printOptions horizontalCentered="1" verticalCentered="1"/>
  <pageMargins left="0" right="0" top="0" bottom="0" header="0.51180555555555551" footer="0.51180555555555551"/>
  <pageSetup scale="33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00B0F0"/>
  </sheetPr>
  <dimension ref="A1:L21"/>
  <sheetViews>
    <sheetView workbookViewId="0">
      <selection activeCell="A3" sqref="A3:B4"/>
    </sheetView>
  </sheetViews>
  <sheetFormatPr baseColWidth="10" defaultColWidth="11.33203125" defaultRowHeight="15.6"/>
  <cols>
    <col min="1" max="1" width="43.33203125" style="377" customWidth="1"/>
    <col min="2" max="2" width="32.44140625" style="377" customWidth="1"/>
    <col min="3" max="12" width="11.33203125" style="378" customWidth="1"/>
    <col min="13" max="16384" width="11.33203125" style="377"/>
  </cols>
  <sheetData>
    <row r="1" spans="1:2">
      <c r="A1" s="379" t="s">
        <v>610</v>
      </c>
      <c r="B1" s="380"/>
    </row>
    <row r="3" spans="1:2">
      <c r="A3" s="447" t="s">
        <v>611</v>
      </c>
      <c r="B3" s="447"/>
    </row>
    <row r="4" spans="1:2">
      <c r="A4" s="447" t="s">
        <v>1070</v>
      </c>
      <c r="B4" s="447"/>
    </row>
    <row r="5" spans="1:2">
      <c r="A5" s="381"/>
      <c r="B5" s="382"/>
    </row>
    <row r="6" spans="1:2">
      <c r="A6" s="383"/>
      <c r="B6" s="384" t="s">
        <v>612</v>
      </c>
    </row>
    <row r="7" spans="1:2">
      <c r="A7" s="385" t="s">
        <v>535</v>
      </c>
      <c r="B7" s="386" t="s">
        <v>539</v>
      </c>
    </row>
    <row r="8" spans="1:2">
      <c r="A8" s="387"/>
      <c r="B8" s="388"/>
    </row>
    <row r="9" spans="1:2">
      <c r="A9" s="389" t="s">
        <v>613</v>
      </c>
      <c r="B9" s="66">
        <v>1114</v>
      </c>
    </row>
    <row r="10" spans="1:2">
      <c r="A10" s="389" t="s">
        <v>614</v>
      </c>
      <c r="B10" s="66">
        <v>17967</v>
      </c>
    </row>
    <row r="11" spans="1:2">
      <c r="A11" s="389" t="s">
        <v>615</v>
      </c>
      <c r="B11" s="66">
        <v>53</v>
      </c>
    </row>
    <row r="12" spans="1:2">
      <c r="A12" s="389" t="s">
        <v>616</v>
      </c>
      <c r="B12" s="66">
        <v>17790</v>
      </c>
    </row>
    <row r="13" spans="1:2">
      <c r="A13" s="389" t="s">
        <v>617</v>
      </c>
      <c r="B13" s="66">
        <v>1344</v>
      </c>
    </row>
    <row r="14" spans="1:2">
      <c r="A14" s="389"/>
      <c r="B14" s="390"/>
    </row>
    <row r="15" spans="1:2">
      <c r="A15" s="391" t="s">
        <v>618</v>
      </c>
      <c r="B15" s="392" t="s">
        <v>619</v>
      </c>
    </row>
    <row r="16" spans="1:2">
      <c r="A16" s="387"/>
      <c r="B16" s="390"/>
    </row>
    <row r="17" spans="1:12">
      <c r="A17" s="389" t="s">
        <v>620</v>
      </c>
      <c r="B17" s="393">
        <f>SUM(B9:B11)/B12</f>
        <v>1.075548060708263</v>
      </c>
      <c r="L17" s="377"/>
    </row>
    <row r="18" spans="1:12">
      <c r="A18" s="389" t="s">
        <v>621</v>
      </c>
      <c r="B18" s="394">
        <f>(B13/SUM(B9:B11))*100</f>
        <v>7.0241455001567896</v>
      </c>
    </row>
    <row r="19" spans="1:12">
      <c r="A19" s="389" t="s">
        <v>622</v>
      </c>
      <c r="B19" s="394">
        <f>(B12/SUM(B9:B11))*100</f>
        <v>92.975854499843209</v>
      </c>
    </row>
    <row r="20" spans="1:12">
      <c r="A20" s="395"/>
      <c r="B20" s="396"/>
    </row>
    <row r="21" spans="1:12">
      <c r="A21" s="39" t="s">
        <v>1072</v>
      </c>
      <c r="B21" s="397"/>
    </row>
  </sheetData>
  <sheetProtection selectLockedCells="1" selectUnlockedCells="1"/>
  <mergeCells count="2">
    <mergeCell ref="A3:B3"/>
    <mergeCell ref="A4:B4"/>
  </mergeCells>
  <phoneticPr fontId="0" type="noConversion"/>
  <printOptions horizontalCentered="1" verticalCentered="1"/>
  <pageMargins left="0.78749999999999998" right="0.78749999999999998" top="0.98402777777777772" bottom="0.98402777777777772" header="0.51180555555555551" footer="0.51180555555555551"/>
  <pageSetup scale="90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00B0F0"/>
  </sheetPr>
  <dimension ref="A1:L23"/>
  <sheetViews>
    <sheetView workbookViewId="0">
      <selection activeCell="A3" sqref="A3:B4"/>
    </sheetView>
  </sheetViews>
  <sheetFormatPr baseColWidth="10" defaultColWidth="11.33203125" defaultRowHeight="15.6"/>
  <cols>
    <col min="1" max="1" width="44.5546875" style="377" customWidth="1"/>
    <col min="2" max="2" width="29" style="377" customWidth="1"/>
    <col min="3" max="12" width="11.33203125" style="378" customWidth="1"/>
    <col min="13" max="16384" width="11.33203125" style="377"/>
  </cols>
  <sheetData>
    <row r="1" spans="1:2">
      <c r="A1" s="379" t="s">
        <v>623</v>
      </c>
      <c r="B1" s="380"/>
    </row>
    <row r="3" spans="1:2">
      <c r="A3" s="447" t="s">
        <v>611</v>
      </c>
      <c r="B3" s="447"/>
    </row>
    <row r="4" spans="1:2">
      <c r="A4" s="447" t="s">
        <v>1071</v>
      </c>
      <c r="B4" s="447"/>
    </row>
    <row r="5" spans="1:2">
      <c r="A5" s="381"/>
      <c r="B5" s="382"/>
    </row>
    <row r="6" spans="1:2">
      <c r="A6" s="383"/>
      <c r="B6" s="384" t="s">
        <v>612</v>
      </c>
    </row>
    <row r="7" spans="1:2">
      <c r="A7" s="385" t="s">
        <v>535</v>
      </c>
      <c r="B7" s="386" t="s">
        <v>539</v>
      </c>
    </row>
    <row r="8" spans="1:2">
      <c r="A8" s="387"/>
      <c r="B8" s="388"/>
    </row>
    <row r="9" spans="1:2">
      <c r="A9" s="389" t="s">
        <v>613</v>
      </c>
      <c r="B9" s="66">
        <v>3165</v>
      </c>
    </row>
    <row r="10" spans="1:2">
      <c r="A10" s="389" t="s">
        <v>614</v>
      </c>
      <c r="B10" s="66">
        <v>1161</v>
      </c>
    </row>
    <row r="11" spans="1:2">
      <c r="A11" s="389" t="s">
        <v>615</v>
      </c>
      <c r="B11" s="66">
        <v>479</v>
      </c>
    </row>
    <row r="12" spans="1:2">
      <c r="A12" s="389" t="s">
        <v>965</v>
      </c>
      <c r="B12" s="66">
        <v>0</v>
      </c>
    </row>
    <row r="13" spans="1:2">
      <c r="A13" s="389" t="s">
        <v>616</v>
      </c>
      <c r="B13" s="66">
        <v>1308</v>
      </c>
    </row>
    <row r="14" spans="1:2">
      <c r="A14" s="389" t="s">
        <v>617</v>
      </c>
      <c r="B14" s="66">
        <v>3497</v>
      </c>
    </row>
    <row r="15" spans="1:2">
      <c r="A15" s="389"/>
      <c r="B15" s="390"/>
    </row>
    <row r="16" spans="1:2">
      <c r="A16" s="391" t="s">
        <v>618</v>
      </c>
      <c r="B16" s="392" t="s">
        <v>619</v>
      </c>
    </row>
    <row r="17" spans="1:12">
      <c r="A17" s="387"/>
      <c r="B17" s="390"/>
    </row>
    <row r="18" spans="1:12">
      <c r="A18" s="389" t="s">
        <v>620</v>
      </c>
      <c r="B18" s="393">
        <f>SUM(B9:B11)/B13</f>
        <v>3.6735474006116209</v>
      </c>
      <c r="L18" s="377"/>
    </row>
    <row r="19" spans="1:12">
      <c r="A19" s="389" t="s">
        <v>621</v>
      </c>
      <c r="B19" s="394">
        <f>(B14/SUM(B9:B11))*100</f>
        <v>72.778355879292405</v>
      </c>
    </row>
    <row r="20" spans="1:12">
      <c r="A20" s="389" t="s">
        <v>622</v>
      </c>
      <c r="B20" s="394">
        <f>(B13/SUM(B9:B11))*100</f>
        <v>27.221644120707595</v>
      </c>
    </row>
    <row r="21" spans="1:12">
      <c r="A21" s="389" t="s">
        <v>966</v>
      </c>
      <c r="B21" s="394">
        <f>(B12/SUM(B9:B11))*100</f>
        <v>0</v>
      </c>
    </row>
    <row r="22" spans="1:12">
      <c r="A22" s="395"/>
      <c r="B22" s="396"/>
    </row>
    <row r="23" spans="1:12">
      <c r="A23" s="39" t="s">
        <v>1072</v>
      </c>
      <c r="B23" s="397"/>
    </row>
  </sheetData>
  <sheetProtection selectLockedCells="1" selectUnlockedCells="1"/>
  <mergeCells count="2">
    <mergeCell ref="A3:B3"/>
    <mergeCell ref="A4:B4"/>
  </mergeCells>
  <phoneticPr fontId="0" type="noConversion"/>
  <printOptions horizontalCentered="1" verticalCentered="1"/>
  <pageMargins left="0.78749999999999998" right="0.78749999999999998" top="0.98402777777777772" bottom="0.98402777777777772" header="0.51180555555555551" footer="0.51180555555555551"/>
  <pageSetup scale="90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0"/>
  <sheetViews>
    <sheetView workbookViewId="0">
      <selection activeCell="A3" sqref="A3:Q3"/>
    </sheetView>
  </sheetViews>
  <sheetFormatPr baseColWidth="10" defaultColWidth="11.33203125" defaultRowHeight="15.75" customHeight="1"/>
  <cols>
    <col min="1" max="1" width="27.88671875" style="1" customWidth="1"/>
    <col min="2" max="2" width="13.33203125" style="1" customWidth="1"/>
    <col min="3" max="3" width="10.6640625" style="2" customWidth="1"/>
    <col min="4" max="4" width="11.5546875" style="2" customWidth="1"/>
    <col min="5" max="5" width="11.33203125" style="2" customWidth="1"/>
    <col min="6" max="6" width="11.5546875" style="2" customWidth="1"/>
    <col min="7" max="7" width="11.109375" style="2" customWidth="1"/>
    <col min="8" max="8" width="10.6640625" style="1" customWidth="1"/>
    <col min="9" max="9" width="14.33203125" style="2" customWidth="1"/>
    <col min="10" max="10" width="13.6640625" style="1" customWidth="1"/>
    <col min="11" max="11" width="11.109375" style="1" customWidth="1"/>
    <col min="12" max="12" width="11.33203125" style="1" customWidth="1"/>
    <col min="13" max="13" width="12.33203125" style="1" customWidth="1"/>
    <col min="14" max="14" width="13" style="2" customWidth="1"/>
    <col min="15" max="15" width="11.33203125" style="1" customWidth="1"/>
    <col min="16" max="16" width="12.109375" style="1" customWidth="1"/>
    <col min="17" max="17" width="12" style="1" customWidth="1"/>
    <col min="18" max="16384" width="11.33203125" style="1"/>
  </cols>
  <sheetData>
    <row r="1" spans="1:17" ht="15.75" customHeight="1">
      <c r="A1" s="3" t="s">
        <v>257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.75" customHeight="1"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ht="15.75" customHeight="1">
      <c r="A3" s="446" t="s">
        <v>1062</v>
      </c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</row>
    <row r="4" spans="1:17" ht="15.75" customHeight="1">
      <c r="A4" s="5"/>
      <c r="B4" s="5"/>
      <c r="C4" s="6"/>
      <c r="D4" s="6"/>
      <c r="E4" s="6"/>
      <c r="F4" s="6"/>
      <c r="G4" s="6"/>
      <c r="H4" s="5"/>
      <c r="I4" s="6"/>
      <c r="J4" s="5"/>
      <c r="K4" s="5"/>
      <c r="L4" s="5"/>
      <c r="M4" s="5"/>
      <c r="N4" s="6"/>
      <c r="O4" s="5"/>
      <c r="P4" s="5"/>
      <c r="Q4" s="5"/>
    </row>
    <row r="5" spans="1:17" ht="15.75" customHeight="1">
      <c r="A5" s="443" t="s">
        <v>220</v>
      </c>
      <c r="B5" s="444" t="s">
        <v>221</v>
      </c>
      <c r="C5" s="445" t="s">
        <v>222</v>
      </c>
      <c r="D5" s="445"/>
      <c r="E5" s="445"/>
      <c r="F5" s="445"/>
      <c r="G5" s="445"/>
      <c r="H5" s="445"/>
      <c r="I5" s="445"/>
      <c r="J5" s="445"/>
      <c r="K5" s="445"/>
      <c r="L5" s="445"/>
      <c r="M5" s="445"/>
      <c r="N5" s="445"/>
      <c r="O5" s="445"/>
      <c r="P5" s="445"/>
      <c r="Q5" s="445"/>
    </row>
    <row r="6" spans="1:17" ht="36.75" customHeight="1">
      <c r="A6" s="443"/>
      <c r="B6" s="444"/>
      <c r="C6" s="42" t="s">
        <v>223</v>
      </c>
      <c r="D6" s="7" t="s">
        <v>224</v>
      </c>
      <c r="E6" s="7" t="s">
        <v>225</v>
      </c>
      <c r="F6" s="46" t="s">
        <v>226</v>
      </c>
      <c r="G6" s="8" t="s">
        <v>227</v>
      </c>
      <c r="H6" s="8" t="s">
        <v>228</v>
      </c>
      <c r="I6" s="7" t="s">
        <v>229</v>
      </c>
      <c r="J6" s="9" t="s">
        <v>230</v>
      </c>
      <c r="K6" s="9" t="s">
        <v>231</v>
      </c>
      <c r="L6" s="9" t="s">
        <v>232</v>
      </c>
      <c r="M6" s="8" t="s">
        <v>233</v>
      </c>
      <c r="N6" s="7" t="s">
        <v>234</v>
      </c>
      <c r="O6" s="7" t="s">
        <v>235</v>
      </c>
      <c r="P6" s="7" t="s">
        <v>236</v>
      </c>
      <c r="Q6" s="8" t="s">
        <v>237</v>
      </c>
    </row>
    <row r="7" spans="1:17" ht="15.75" customHeight="1">
      <c r="A7" s="10"/>
      <c r="B7" s="10"/>
      <c r="C7" s="14"/>
      <c r="D7" s="13"/>
      <c r="E7" s="13"/>
      <c r="F7" s="47"/>
      <c r="G7" s="48"/>
      <c r="H7" s="13"/>
      <c r="I7" s="49"/>
      <c r="J7" s="12"/>
      <c r="K7" s="12"/>
      <c r="L7" s="49"/>
      <c r="M7" s="49"/>
      <c r="N7" s="49"/>
      <c r="O7" s="49"/>
      <c r="P7" s="11"/>
      <c r="Q7" s="43"/>
    </row>
    <row r="8" spans="1:17" ht="15.75" customHeight="1">
      <c r="A8" s="16" t="s">
        <v>221</v>
      </c>
      <c r="B8" s="17">
        <f t="shared" ref="B8:Q8" si="0">SUM(B10:B24)</f>
        <v>612363</v>
      </c>
      <c r="C8" s="17">
        <f t="shared" si="0"/>
        <v>92977</v>
      </c>
      <c r="D8" s="17">
        <f t="shared" si="0"/>
        <v>18998</v>
      </c>
      <c r="E8" s="17">
        <f t="shared" si="0"/>
        <v>73979</v>
      </c>
      <c r="F8" s="17">
        <f t="shared" si="0"/>
        <v>3237</v>
      </c>
      <c r="G8" s="17">
        <f t="shared" si="0"/>
        <v>17662</v>
      </c>
      <c r="H8" s="17">
        <f t="shared" si="0"/>
        <v>29705</v>
      </c>
      <c r="I8" s="17">
        <f t="shared" si="0"/>
        <v>33752</v>
      </c>
      <c r="J8" s="17">
        <f t="shared" si="0"/>
        <v>64509</v>
      </c>
      <c r="K8" s="17">
        <f t="shared" si="0"/>
        <v>41676</v>
      </c>
      <c r="L8" s="17">
        <f t="shared" si="0"/>
        <v>170437</v>
      </c>
      <c r="M8" s="17">
        <f t="shared" si="0"/>
        <v>11881</v>
      </c>
      <c r="N8" s="17">
        <f t="shared" si="0"/>
        <v>44001</v>
      </c>
      <c r="O8" s="17">
        <f t="shared" si="0"/>
        <v>83428</v>
      </c>
      <c r="P8" s="17">
        <f t="shared" si="0"/>
        <v>17790</v>
      </c>
      <c r="Q8" s="17">
        <f t="shared" si="0"/>
        <v>1308</v>
      </c>
    </row>
    <row r="9" spans="1:17" ht="15.75" customHeight="1">
      <c r="A9" s="10"/>
      <c r="B9" s="25"/>
      <c r="C9" s="19"/>
      <c r="D9" s="20"/>
      <c r="E9" s="19"/>
      <c r="F9" s="26"/>
      <c r="G9" s="50"/>
      <c r="H9" s="20"/>
      <c r="I9" s="51"/>
      <c r="J9" s="20"/>
      <c r="K9" s="20"/>
      <c r="L9" s="26"/>
      <c r="M9" s="26"/>
      <c r="N9" s="26"/>
      <c r="O9" s="26"/>
      <c r="P9" s="52"/>
      <c r="Q9" s="19"/>
    </row>
    <row r="10" spans="1:17" ht="15.75" customHeight="1">
      <c r="A10" s="22" t="s">
        <v>238</v>
      </c>
      <c r="B10" s="18">
        <f t="shared" ref="B10:B24" si="1">SUM(C10,F10:Q10)</f>
        <v>100262</v>
      </c>
      <c r="C10" s="18">
        <f>SUM(D10:E10)</f>
        <v>23768</v>
      </c>
      <c r="D10" s="18">
        <v>4505</v>
      </c>
      <c r="E10" s="18">
        <v>19263</v>
      </c>
      <c r="F10" s="18" t="s">
        <v>1048</v>
      </c>
      <c r="G10" s="18" t="s">
        <v>1048</v>
      </c>
      <c r="H10" s="25">
        <v>4618</v>
      </c>
      <c r="I10" s="18">
        <v>2677</v>
      </c>
      <c r="J10" s="18">
        <v>3780</v>
      </c>
      <c r="K10" s="18">
        <v>3737</v>
      </c>
      <c r="L10" s="18">
        <f>2781+5005+9999</f>
        <v>17785</v>
      </c>
      <c r="M10" s="26">
        <f>293+3343</f>
        <v>3636</v>
      </c>
      <c r="N10" s="18">
        <v>6387</v>
      </c>
      <c r="O10" s="18">
        <v>14776</v>
      </c>
      <c r="P10" s="18">
        <v>17790</v>
      </c>
      <c r="Q10" s="23">
        <v>1308</v>
      </c>
    </row>
    <row r="11" spans="1:17" ht="15.75" customHeight="1">
      <c r="A11" s="22" t="s">
        <v>240</v>
      </c>
      <c r="B11" s="18">
        <f t="shared" si="1"/>
        <v>87382</v>
      </c>
      <c r="C11" s="18">
        <f t="shared" ref="C11:C24" si="2">SUM(D11:E11)</f>
        <v>21990</v>
      </c>
      <c r="D11" s="18">
        <v>1135</v>
      </c>
      <c r="E11" s="18">
        <v>20855</v>
      </c>
      <c r="F11" s="26">
        <v>220</v>
      </c>
      <c r="G11" s="18">
        <v>17662</v>
      </c>
      <c r="H11" s="25">
        <v>2277</v>
      </c>
      <c r="I11" s="18">
        <v>1858</v>
      </c>
      <c r="J11" s="18">
        <v>5936</v>
      </c>
      <c r="K11" s="18">
        <v>8942</v>
      </c>
      <c r="L11" s="18">
        <f>1597+4898+8560</f>
        <v>15055</v>
      </c>
      <c r="M11" s="18" t="s">
        <v>1048</v>
      </c>
      <c r="N11" s="25">
        <v>1876</v>
      </c>
      <c r="O11" s="18">
        <v>11566</v>
      </c>
      <c r="P11" s="18" t="s">
        <v>1048</v>
      </c>
      <c r="Q11" s="18" t="s">
        <v>1048</v>
      </c>
    </row>
    <row r="12" spans="1:17" ht="15.75" customHeight="1">
      <c r="A12" s="22" t="s">
        <v>241</v>
      </c>
      <c r="B12" s="18">
        <f t="shared" si="1"/>
        <v>45812</v>
      </c>
      <c r="C12" s="18">
        <f t="shared" si="2"/>
        <v>1068</v>
      </c>
      <c r="D12" s="18">
        <v>1068</v>
      </c>
      <c r="E12" s="18" t="s">
        <v>1048</v>
      </c>
      <c r="F12" s="18" t="s">
        <v>1048</v>
      </c>
      <c r="G12" s="18" t="s">
        <v>1048</v>
      </c>
      <c r="H12" s="25">
        <v>2481</v>
      </c>
      <c r="I12" s="18">
        <v>4945</v>
      </c>
      <c r="J12" s="18">
        <v>8029</v>
      </c>
      <c r="K12" s="18">
        <v>992</v>
      </c>
      <c r="L12" s="18">
        <f>1393+2631+9349</f>
        <v>13373</v>
      </c>
      <c r="M12" s="18" t="s">
        <v>1048</v>
      </c>
      <c r="N12" s="18">
        <v>4116</v>
      </c>
      <c r="O12" s="18">
        <v>10808</v>
      </c>
      <c r="P12" s="18" t="s">
        <v>1048</v>
      </c>
      <c r="Q12" s="18" t="s">
        <v>1048</v>
      </c>
    </row>
    <row r="13" spans="1:17" ht="15.75" customHeight="1">
      <c r="A13" s="22" t="s">
        <v>242</v>
      </c>
      <c r="B13" s="18">
        <f t="shared" si="1"/>
        <v>45039</v>
      </c>
      <c r="C13" s="18">
        <f t="shared" si="2"/>
        <v>6645</v>
      </c>
      <c r="D13" s="18">
        <v>997</v>
      </c>
      <c r="E13" s="18">
        <v>5648</v>
      </c>
      <c r="F13" s="26">
        <v>201</v>
      </c>
      <c r="G13" s="18" t="s">
        <v>1048</v>
      </c>
      <c r="H13" s="25">
        <v>2034</v>
      </c>
      <c r="I13" s="18">
        <v>1178</v>
      </c>
      <c r="J13" s="18">
        <v>4982</v>
      </c>
      <c r="K13" s="18">
        <v>3134</v>
      </c>
      <c r="L13" s="18">
        <f>1224+6064+7678</f>
        <v>14966</v>
      </c>
      <c r="M13" s="26">
        <f>89+607</f>
        <v>696</v>
      </c>
      <c r="N13" s="18">
        <v>3132</v>
      </c>
      <c r="O13" s="18">
        <v>8071</v>
      </c>
      <c r="P13" s="18" t="s">
        <v>1048</v>
      </c>
      <c r="Q13" s="18" t="s">
        <v>1048</v>
      </c>
    </row>
    <row r="14" spans="1:17" ht="15.75" customHeight="1">
      <c r="A14" s="22" t="s">
        <v>243</v>
      </c>
      <c r="B14" s="18">
        <f t="shared" si="1"/>
        <v>25503</v>
      </c>
      <c r="C14" s="18">
        <f t="shared" si="2"/>
        <v>2229</v>
      </c>
      <c r="D14" s="18">
        <v>640</v>
      </c>
      <c r="E14" s="18">
        <v>1589</v>
      </c>
      <c r="F14" s="26">
        <v>405</v>
      </c>
      <c r="G14" s="18" t="s">
        <v>1048</v>
      </c>
      <c r="H14" s="25">
        <v>1464</v>
      </c>
      <c r="I14" s="18">
        <v>2371</v>
      </c>
      <c r="J14" s="18">
        <v>3297</v>
      </c>
      <c r="K14" s="18">
        <v>1853</v>
      </c>
      <c r="L14" s="18">
        <f>1104+3640+5028</f>
        <v>9772</v>
      </c>
      <c r="M14" s="26">
        <f>115+455</f>
        <v>570</v>
      </c>
      <c r="N14" s="18">
        <v>1896</v>
      </c>
      <c r="O14" s="18">
        <v>1646</v>
      </c>
      <c r="P14" s="18" t="s">
        <v>1048</v>
      </c>
      <c r="Q14" s="18" t="s">
        <v>1048</v>
      </c>
    </row>
    <row r="15" spans="1:17" ht="15.75" customHeight="1">
      <c r="A15" s="22" t="s">
        <v>244</v>
      </c>
      <c r="B15" s="18">
        <f t="shared" si="1"/>
        <v>25642</v>
      </c>
      <c r="C15" s="18">
        <f t="shared" si="2"/>
        <v>4368</v>
      </c>
      <c r="D15" s="18">
        <v>1047</v>
      </c>
      <c r="E15" s="18">
        <v>3321</v>
      </c>
      <c r="F15" s="26">
        <v>214</v>
      </c>
      <c r="G15" s="18" t="s">
        <v>1048</v>
      </c>
      <c r="H15" s="25">
        <v>1740</v>
      </c>
      <c r="I15" s="18">
        <v>2032</v>
      </c>
      <c r="J15" s="18">
        <v>2747</v>
      </c>
      <c r="K15" s="18">
        <v>2066</v>
      </c>
      <c r="L15" s="18">
        <f>598+2604+3047</f>
        <v>6249</v>
      </c>
      <c r="M15" s="26">
        <f>41+356</f>
        <v>397</v>
      </c>
      <c r="N15" s="18">
        <v>2146</v>
      </c>
      <c r="O15" s="18">
        <v>3683</v>
      </c>
      <c r="P15" s="18" t="s">
        <v>1048</v>
      </c>
      <c r="Q15" s="18" t="s">
        <v>1048</v>
      </c>
    </row>
    <row r="16" spans="1:17" ht="15.75" customHeight="1">
      <c r="A16" s="22" t="s">
        <v>245</v>
      </c>
      <c r="B16" s="18">
        <f t="shared" si="1"/>
        <v>52981</v>
      </c>
      <c r="C16" s="18">
        <f t="shared" si="2"/>
        <v>7082</v>
      </c>
      <c r="D16" s="18">
        <v>3199</v>
      </c>
      <c r="E16" s="18">
        <v>3883</v>
      </c>
      <c r="F16" s="26">
        <v>323</v>
      </c>
      <c r="G16" s="18" t="s">
        <v>1048</v>
      </c>
      <c r="H16" s="25">
        <v>3678</v>
      </c>
      <c r="I16" s="18">
        <v>3681</v>
      </c>
      <c r="J16" s="18">
        <v>6227</v>
      </c>
      <c r="K16" s="18">
        <v>3442</v>
      </c>
      <c r="L16" s="18">
        <f>1574+4779+9119</f>
        <v>15472</v>
      </c>
      <c r="M16" s="26">
        <f>103+1089</f>
        <v>1192</v>
      </c>
      <c r="N16" s="18">
        <v>4582</v>
      </c>
      <c r="O16" s="18">
        <v>7302</v>
      </c>
      <c r="P16" s="18" t="s">
        <v>1048</v>
      </c>
      <c r="Q16" s="18" t="s">
        <v>1048</v>
      </c>
    </row>
    <row r="17" spans="1:17" ht="15.75" customHeight="1">
      <c r="A17" s="22" t="s">
        <v>246</v>
      </c>
      <c r="B17" s="18">
        <f t="shared" si="1"/>
        <v>57161</v>
      </c>
      <c r="C17" s="18">
        <f t="shared" si="2"/>
        <v>6541</v>
      </c>
      <c r="D17" s="18">
        <v>1684</v>
      </c>
      <c r="E17" s="18">
        <v>4857</v>
      </c>
      <c r="F17" s="18" t="s">
        <v>1048</v>
      </c>
      <c r="G17" s="18" t="s">
        <v>1048</v>
      </c>
      <c r="H17" s="25">
        <v>3511</v>
      </c>
      <c r="I17" s="18">
        <v>2466</v>
      </c>
      <c r="J17" s="18">
        <v>5670</v>
      </c>
      <c r="K17" s="18">
        <v>3727</v>
      </c>
      <c r="L17" s="18">
        <f>1459+6878+10479</f>
        <v>18816</v>
      </c>
      <c r="M17" s="437">
        <f>48+838</f>
        <v>886</v>
      </c>
      <c r="N17" s="18">
        <v>3419</v>
      </c>
      <c r="O17" s="18">
        <v>12125</v>
      </c>
      <c r="P17" s="18" t="s">
        <v>1048</v>
      </c>
      <c r="Q17" s="18" t="s">
        <v>1048</v>
      </c>
    </row>
    <row r="18" spans="1:17" ht="15.75" customHeight="1">
      <c r="A18" s="22" t="s">
        <v>247</v>
      </c>
      <c r="B18" s="18">
        <f t="shared" si="1"/>
        <v>22023</v>
      </c>
      <c r="C18" s="18">
        <f t="shared" si="2"/>
        <v>2041</v>
      </c>
      <c r="D18" s="18">
        <v>643</v>
      </c>
      <c r="E18" s="18">
        <v>1398</v>
      </c>
      <c r="F18" s="26">
        <v>294</v>
      </c>
      <c r="G18" s="18" t="s">
        <v>1048</v>
      </c>
      <c r="H18" s="25">
        <v>1237</v>
      </c>
      <c r="I18" s="18">
        <v>1191</v>
      </c>
      <c r="J18" s="18">
        <v>3083</v>
      </c>
      <c r="K18" s="18">
        <v>1389</v>
      </c>
      <c r="L18" s="18">
        <f>1153+3468+3827</f>
        <v>8448</v>
      </c>
      <c r="M18" s="26">
        <f>65+577</f>
        <v>642</v>
      </c>
      <c r="N18" s="18">
        <v>1911</v>
      </c>
      <c r="O18" s="18">
        <v>1787</v>
      </c>
      <c r="P18" s="18" t="s">
        <v>1048</v>
      </c>
      <c r="Q18" s="18" t="s">
        <v>1048</v>
      </c>
    </row>
    <row r="19" spans="1:17" ht="15.75" customHeight="1">
      <c r="A19" s="22" t="s">
        <v>248</v>
      </c>
      <c r="B19" s="18">
        <f t="shared" si="1"/>
        <v>25973</v>
      </c>
      <c r="C19" s="18">
        <f t="shared" si="2"/>
        <v>2567</v>
      </c>
      <c r="D19" s="18">
        <v>959</v>
      </c>
      <c r="E19" s="18">
        <v>1608</v>
      </c>
      <c r="F19" s="26">
        <v>421</v>
      </c>
      <c r="G19" s="18" t="s">
        <v>1048</v>
      </c>
      <c r="H19" s="25">
        <v>680</v>
      </c>
      <c r="I19" s="18">
        <v>2897</v>
      </c>
      <c r="J19" s="18">
        <v>4236</v>
      </c>
      <c r="K19" s="18">
        <v>1413</v>
      </c>
      <c r="L19" s="18">
        <f>1259+3291+4193</f>
        <v>8743</v>
      </c>
      <c r="M19" s="26">
        <f>38+316</f>
        <v>354</v>
      </c>
      <c r="N19" s="18">
        <v>3130</v>
      </c>
      <c r="O19" s="18">
        <v>1532</v>
      </c>
      <c r="P19" s="18" t="s">
        <v>1048</v>
      </c>
      <c r="Q19" s="18" t="s">
        <v>1048</v>
      </c>
    </row>
    <row r="20" spans="1:17" ht="15.75" customHeight="1">
      <c r="A20" s="22" t="s">
        <v>249</v>
      </c>
      <c r="B20" s="18">
        <f t="shared" si="1"/>
        <v>34789</v>
      </c>
      <c r="C20" s="18">
        <f t="shared" si="2"/>
        <v>2385</v>
      </c>
      <c r="D20" s="18">
        <v>961</v>
      </c>
      <c r="E20" s="18">
        <v>1424</v>
      </c>
      <c r="F20" s="26">
        <v>176</v>
      </c>
      <c r="G20" s="18" t="s">
        <v>1048</v>
      </c>
      <c r="H20" s="25">
        <v>1438</v>
      </c>
      <c r="I20" s="18">
        <v>2358</v>
      </c>
      <c r="J20" s="18">
        <v>5960</v>
      </c>
      <c r="K20" s="18">
        <v>3481</v>
      </c>
      <c r="L20" s="18">
        <f>1305+4839+5191</f>
        <v>11335</v>
      </c>
      <c r="M20" s="26">
        <f>69+841</f>
        <v>910</v>
      </c>
      <c r="N20" s="18">
        <v>3017</v>
      </c>
      <c r="O20" s="18">
        <v>3729</v>
      </c>
      <c r="P20" s="18" t="s">
        <v>1048</v>
      </c>
      <c r="Q20" s="18" t="s">
        <v>1048</v>
      </c>
    </row>
    <row r="21" spans="1:17" ht="15.75" customHeight="1">
      <c r="A21" s="22" t="s">
        <v>250</v>
      </c>
      <c r="B21" s="18">
        <f t="shared" si="1"/>
        <v>20871</v>
      </c>
      <c r="C21" s="18">
        <f t="shared" si="2"/>
        <v>5122</v>
      </c>
      <c r="D21" s="18">
        <v>525</v>
      </c>
      <c r="E21" s="18">
        <v>4597</v>
      </c>
      <c r="F21" s="26">
        <v>238</v>
      </c>
      <c r="G21" s="18" t="s">
        <v>1048</v>
      </c>
      <c r="H21" s="25">
        <v>1059</v>
      </c>
      <c r="I21" s="18">
        <v>365</v>
      </c>
      <c r="J21" s="18">
        <v>2928</v>
      </c>
      <c r="K21" s="18">
        <v>1140</v>
      </c>
      <c r="L21" s="18">
        <f>1092+1659+3331</f>
        <v>6082</v>
      </c>
      <c r="M21" s="26">
        <f>54+375</f>
        <v>429</v>
      </c>
      <c r="N21" s="18">
        <v>1732</v>
      </c>
      <c r="O21" s="18">
        <v>1776</v>
      </c>
      <c r="P21" s="18" t="s">
        <v>1048</v>
      </c>
      <c r="Q21" s="18" t="s">
        <v>1048</v>
      </c>
    </row>
    <row r="22" spans="1:17" ht="15.75" customHeight="1">
      <c r="A22" s="22" t="s">
        <v>251</v>
      </c>
      <c r="B22" s="18">
        <f t="shared" si="1"/>
        <v>19713</v>
      </c>
      <c r="C22" s="18">
        <f t="shared" si="2"/>
        <v>1250</v>
      </c>
      <c r="D22" s="18">
        <v>682</v>
      </c>
      <c r="E22" s="18">
        <v>568</v>
      </c>
      <c r="F22" s="26">
        <v>230</v>
      </c>
      <c r="G22" s="18" t="s">
        <v>1048</v>
      </c>
      <c r="H22" s="25">
        <v>1200</v>
      </c>
      <c r="I22" s="18">
        <v>2068</v>
      </c>
      <c r="J22" s="18">
        <v>2864</v>
      </c>
      <c r="K22" s="18">
        <v>974</v>
      </c>
      <c r="L22" s="18">
        <f>853+2548+4058</f>
        <v>7459</v>
      </c>
      <c r="M22" s="26">
        <f>59+365</f>
        <v>424</v>
      </c>
      <c r="N22" s="18">
        <v>2070</v>
      </c>
      <c r="O22" s="18">
        <v>1174</v>
      </c>
      <c r="P22" s="18" t="s">
        <v>1048</v>
      </c>
      <c r="Q22" s="18" t="s">
        <v>1048</v>
      </c>
    </row>
    <row r="23" spans="1:17" ht="15.75" customHeight="1">
      <c r="A23" s="22" t="s">
        <v>252</v>
      </c>
      <c r="B23" s="18">
        <f t="shared" si="1"/>
        <v>21069</v>
      </c>
      <c r="C23" s="18">
        <f t="shared" si="2"/>
        <v>2004</v>
      </c>
      <c r="D23" s="18">
        <v>486</v>
      </c>
      <c r="E23" s="18">
        <v>1518</v>
      </c>
      <c r="F23" s="26">
        <v>244</v>
      </c>
      <c r="G23" s="18" t="s">
        <v>1048</v>
      </c>
      <c r="H23" s="25">
        <v>857</v>
      </c>
      <c r="I23" s="18">
        <v>1140</v>
      </c>
      <c r="J23" s="18">
        <v>1949</v>
      </c>
      <c r="K23" s="18">
        <v>2519</v>
      </c>
      <c r="L23" s="18">
        <f>1091+3065+3494</f>
        <v>7650</v>
      </c>
      <c r="M23" s="26">
        <f>31+695</f>
        <v>726</v>
      </c>
      <c r="N23" s="18">
        <v>2348</v>
      </c>
      <c r="O23" s="18">
        <v>1632</v>
      </c>
      <c r="P23" s="18" t="s">
        <v>1048</v>
      </c>
      <c r="Q23" s="18" t="s">
        <v>1048</v>
      </c>
    </row>
    <row r="24" spans="1:17" ht="15.75" customHeight="1">
      <c r="A24" s="22" t="s">
        <v>253</v>
      </c>
      <c r="B24" s="18">
        <f t="shared" si="1"/>
        <v>28143</v>
      </c>
      <c r="C24" s="18">
        <f t="shared" si="2"/>
        <v>3917</v>
      </c>
      <c r="D24" s="18">
        <v>467</v>
      </c>
      <c r="E24" s="18">
        <v>3450</v>
      </c>
      <c r="F24" s="26">
        <v>271</v>
      </c>
      <c r="G24" s="18" t="s">
        <v>1048</v>
      </c>
      <c r="H24" s="25">
        <v>1431</v>
      </c>
      <c r="I24" s="18">
        <v>2525</v>
      </c>
      <c r="J24" s="18">
        <v>2821</v>
      </c>
      <c r="K24" s="18">
        <v>2867</v>
      </c>
      <c r="L24" s="18">
        <f>1432+3086+4714</f>
        <v>9232</v>
      </c>
      <c r="M24" s="26">
        <f>134+885</f>
        <v>1019</v>
      </c>
      <c r="N24" s="18">
        <v>2239</v>
      </c>
      <c r="O24" s="18">
        <v>1821</v>
      </c>
      <c r="P24" s="18" t="s">
        <v>1048</v>
      </c>
      <c r="Q24" s="18" t="s">
        <v>1048</v>
      </c>
    </row>
    <row r="25" spans="1:17" s="35" customFormat="1" ht="15.75" customHeight="1">
      <c r="A25" s="27"/>
      <c r="B25" s="28"/>
      <c r="C25" s="29"/>
      <c r="D25" s="30"/>
      <c r="E25" s="29"/>
      <c r="F25" s="31"/>
      <c r="G25" s="32"/>
      <c r="H25" s="33"/>
      <c r="I25" s="33"/>
      <c r="J25" s="33"/>
      <c r="K25" s="33"/>
      <c r="L25" s="34"/>
      <c r="M25" s="34"/>
      <c r="N25" s="33"/>
      <c r="O25" s="34"/>
      <c r="P25" s="33"/>
      <c r="Q25" s="44"/>
    </row>
    <row r="26" spans="1:17" ht="15.75" customHeight="1">
      <c r="A26" s="45" t="s">
        <v>258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</row>
    <row r="27" spans="1:17" ht="15.75" customHeight="1">
      <c r="A27" s="45" t="s">
        <v>259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</row>
    <row r="28" spans="1:17" ht="15.75" customHeight="1">
      <c r="A28" s="45" t="s">
        <v>325</v>
      </c>
    </row>
    <row r="29" spans="1:17" ht="15.75" customHeight="1">
      <c r="A29" s="45" t="s">
        <v>326</v>
      </c>
    </row>
    <row r="30" spans="1:17" ht="15.75" customHeight="1">
      <c r="A30" s="39" t="s">
        <v>1072</v>
      </c>
    </row>
  </sheetData>
  <sheetProtection selectLockedCells="1" selectUnlockedCells="1"/>
  <mergeCells count="4">
    <mergeCell ref="A3:Q3"/>
    <mergeCell ref="A5:A6"/>
    <mergeCell ref="B5:B6"/>
    <mergeCell ref="C5:Q5"/>
  </mergeCells>
  <phoneticPr fontId="0" type="noConversion"/>
  <printOptions horizontalCentered="1" verticalCentered="1"/>
  <pageMargins left="0.27013888888888887" right="0.20972222222222223" top="0" bottom="0" header="0.51180555555555551" footer="0.51180555555555551"/>
  <pageSetup firstPageNumber="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0"/>
  <sheetViews>
    <sheetView workbookViewId="0">
      <selection activeCell="A3" sqref="A3:Q3"/>
    </sheetView>
  </sheetViews>
  <sheetFormatPr baseColWidth="10" defaultColWidth="11.33203125" defaultRowHeight="15.75" customHeight="1"/>
  <cols>
    <col min="1" max="1" width="27.5546875" style="1" customWidth="1"/>
    <col min="2" max="2" width="11.88671875" style="2" customWidth="1"/>
    <col min="3" max="3" width="10.88671875" style="1" customWidth="1"/>
    <col min="4" max="4" width="11.33203125" style="1" customWidth="1"/>
    <col min="5" max="5" width="10.88671875" style="1" customWidth="1"/>
    <col min="6" max="6" width="10.33203125" style="2" customWidth="1"/>
    <col min="7" max="7" width="11.44140625" style="1" customWidth="1"/>
    <col min="8" max="8" width="11.5546875" style="1" customWidth="1"/>
    <col min="9" max="9" width="15.44140625" style="2" customWidth="1"/>
    <col min="10" max="10" width="13.109375" style="1" customWidth="1"/>
    <col min="11" max="11" width="12" style="1" customWidth="1"/>
    <col min="12" max="12" width="11.6640625" style="2" customWidth="1"/>
    <col min="13" max="13" width="12.109375" style="2" customWidth="1"/>
    <col min="14" max="14" width="13.109375" style="2" customWidth="1"/>
    <col min="15" max="15" width="12.109375" style="2" customWidth="1"/>
    <col min="16" max="16" width="12.5546875" style="1" customWidth="1"/>
    <col min="17" max="17" width="11.5546875" style="1" customWidth="1"/>
    <col min="18" max="16384" width="11.33203125" style="1"/>
  </cols>
  <sheetData>
    <row r="1" spans="1:17" ht="15.75" customHeight="1">
      <c r="A1" s="3" t="s">
        <v>327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.75" customHeight="1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5.75" customHeight="1">
      <c r="A3" s="446" t="s">
        <v>1063</v>
      </c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</row>
    <row r="4" spans="1:17" ht="15.75" customHeight="1">
      <c r="A4" s="5"/>
      <c r="B4" s="6"/>
      <c r="C4" s="5"/>
      <c r="D4" s="5"/>
      <c r="E4" s="5"/>
      <c r="F4" s="6"/>
      <c r="G4" s="5"/>
      <c r="H4" s="5"/>
      <c r="I4" s="6"/>
      <c r="J4" s="5"/>
      <c r="K4" s="5"/>
      <c r="L4" s="6"/>
      <c r="M4" s="6"/>
      <c r="N4" s="6"/>
      <c r="O4" s="6"/>
      <c r="P4" s="5"/>
      <c r="Q4" s="5"/>
    </row>
    <row r="5" spans="1:17" ht="15.75" customHeight="1">
      <c r="A5" s="443" t="s">
        <v>220</v>
      </c>
      <c r="B5" s="444" t="s">
        <v>221</v>
      </c>
      <c r="C5" s="445" t="s">
        <v>222</v>
      </c>
      <c r="D5" s="445"/>
      <c r="E5" s="445"/>
      <c r="F5" s="445"/>
      <c r="G5" s="445"/>
      <c r="H5" s="445"/>
      <c r="I5" s="445"/>
      <c r="J5" s="445"/>
      <c r="K5" s="445"/>
      <c r="L5" s="445"/>
      <c r="M5" s="445"/>
      <c r="N5" s="445"/>
      <c r="O5" s="445"/>
      <c r="P5" s="445"/>
      <c r="Q5" s="445"/>
    </row>
    <row r="6" spans="1:17" ht="36" customHeight="1">
      <c r="A6" s="443"/>
      <c r="B6" s="444"/>
      <c r="C6" s="42" t="s">
        <v>223</v>
      </c>
      <c r="D6" s="7" t="s">
        <v>224</v>
      </c>
      <c r="E6" s="7" t="s">
        <v>225</v>
      </c>
      <c r="F6" s="46" t="s">
        <v>226</v>
      </c>
      <c r="G6" s="8" t="s">
        <v>227</v>
      </c>
      <c r="H6" s="8" t="s">
        <v>228</v>
      </c>
      <c r="I6" s="7" t="s">
        <v>229</v>
      </c>
      <c r="J6" s="9" t="s">
        <v>230</v>
      </c>
      <c r="K6" s="9" t="s">
        <v>231</v>
      </c>
      <c r="L6" s="9" t="s">
        <v>232</v>
      </c>
      <c r="M6" s="8" t="s">
        <v>233</v>
      </c>
      <c r="N6" s="7" t="s">
        <v>234</v>
      </c>
      <c r="O6" s="7" t="s">
        <v>235</v>
      </c>
      <c r="P6" s="7" t="s">
        <v>236</v>
      </c>
      <c r="Q6" s="8" t="s">
        <v>237</v>
      </c>
    </row>
    <row r="7" spans="1:17" ht="15.75" customHeight="1">
      <c r="A7" s="10"/>
      <c r="B7" s="10"/>
      <c r="C7" s="14"/>
      <c r="D7" s="13"/>
      <c r="E7" s="13"/>
      <c r="F7" s="47"/>
      <c r="G7" s="48"/>
      <c r="H7" s="13"/>
      <c r="I7" s="49"/>
      <c r="J7" s="12"/>
      <c r="K7" s="12"/>
      <c r="L7" s="49"/>
      <c r="M7" s="49"/>
      <c r="N7" s="49"/>
      <c r="O7" s="49"/>
      <c r="P7" s="11"/>
      <c r="Q7" s="43"/>
    </row>
    <row r="8" spans="1:17" ht="15.75" customHeight="1">
      <c r="A8" s="16" t="s">
        <v>221</v>
      </c>
      <c r="B8" s="17">
        <f t="shared" ref="B8:Q8" si="0">SUM(B10:B24)</f>
        <v>984871</v>
      </c>
      <c r="C8" s="17">
        <f t="shared" si="0"/>
        <v>510600</v>
      </c>
      <c r="D8" s="17">
        <f t="shared" si="0"/>
        <v>57431</v>
      </c>
      <c r="E8" s="17">
        <f t="shared" si="0"/>
        <v>453169</v>
      </c>
      <c r="F8" s="17">
        <f t="shared" si="0"/>
        <v>6746</v>
      </c>
      <c r="G8" s="17">
        <f t="shared" si="0"/>
        <v>18232</v>
      </c>
      <c r="H8" s="17">
        <f t="shared" si="0"/>
        <v>19614</v>
      </c>
      <c r="I8" s="17">
        <f t="shared" si="0"/>
        <v>170764</v>
      </c>
      <c r="J8" s="17">
        <f t="shared" si="0"/>
        <v>42548</v>
      </c>
      <c r="K8" s="17">
        <f t="shared" si="0"/>
        <v>44356</v>
      </c>
      <c r="L8" s="17">
        <f t="shared" si="0"/>
        <v>105506</v>
      </c>
      <c r="M8" s="17">
        <f t="shared" si="0"/>
        <v>9782</v>
      </c>
      <c r="N8" s="17">
        <f t="shared" si="0"/>
        <v>21464</v>
      </c>
      <c r="O8" s="17">
        <f t="shared" si="0"/>
        <v>30418</v>
      </c>
      <c r="P8" s="17">
        <f t="shared" si="0"/>
        <v>1344</v>
      </c>
      <c r="Q8" s="17">
        <f t="shared" si="0"/>
        <v>3497</v>
      </c>
    </row>
    <row r="9" spans="1:17" ht="15.75" customHeight="1">
      <c r="A9" s="10"/>
      <c r="B9" s="25"/>
      <c r="C9" s="19"/>
      <c r="D9" s="20"/>
      <c r="E9" s="19"/>
      <c r="F9" s="26"/>
      <c r="G9" s="50"/>
      <c r="H9" s="20"/>
      <c r="I9" s="51"/>
      <c r="J9" s="20"/>
      <c r="K9" s="20"/>
      <c r="L9" s="26"/>
      <c r="M9" s="26"/>
      <c r="N9" s="26"/>
      <c r="O9" s="26"/>
      <c r="P9" s="52"/>
      <c r="Q9" s="19"/>
    </row>
    <row r="10" spans="1:17" ht="15.75" customHeight="1">
      <c r="A10" s="22" t="s">
        <v>238</v>
      </c>
      <c r="B10" s="18">
        <f t="shared" ref="B10:B24" si="1">SUM(C10,F10:Q10)</f>
        <v>255963</v>
      </c>
      <c r="C10" s="18">
        <f>SUM(D10:E10)</f>
        <v>203609</v>
      </c>
      <c r="D10" s="18">
        <v>25879</v>
      </c>
      <c r="E10" s="18">
        <v>177730</v>
      </c>
      <c r="F10" s="18" t="s">
        <v>1048</v>
      </c>
      <c r="G10" s="18" t="s">
        <v>1048</v>
      </c>
      <c r="H10" s="25">
        <v>4156</v>
      </c>
      <c r="I10" s="18">
        <v>9188</v>
      </c>
      <c r="J10" s="18">
        <v>2587</v>
      </c>
      <c r="K10" s="18">
        <v>3850</v>
      </c>
      <c r="L10" s="18">
        <f>2673+3629+8276</f>
        <v>14578</v>
      </c>
      <c r="M10" s="26">
        <f>362+2968</f>
        <v>3330</v>
      </c>
      <c r="N10" s="18">
        <v>5279</v>
      </c>
      <c r="O10" s="18">
        <v>4545</v>
      </c>
      <c r="P10" s="18">
        <v>1344</v>
      </c>
      <c r="Q10" s="23">
        <v>3497</v>
      </c>
    </row>
    <row r="11" spans="1:17" ht="15.75" customHeight="1">
      <c r="A11" s="22" t="s">
        <v>240</v>
      </c>
      <c r="B11" s="18">
        <f t="shared" si="1"/>
        <v>208383</v>
      </c>
      <c r="C11" s="18">
        <f t="shared" ref="C11:C24" si="2">SUM(D11:E11)</f>
        <v>138185</v>
      </c>
      <c r="D11" s="18">
        <v>3116</v>
      </c>
      <c r="E11" s="18">
        <v>135069</v>
      </c>
      <c r="F11" s="26">
        <v>459</v>
      </c>
      <c r="G11" s="18">
        <v>18232</v>
      </c>
      <c r="H11" s="25">
        <v>1808</v>
      </c>
      <c r="I11" s="18">
        <v>15690</v>
      </c>
      <c r="J11" s="18">
        <v>4620</v>
      </c>
      <c r="K11" s="18">
        <v>13053</v>
      </c>
      <c r="L11" s="18">
        <f>2569+959+3332</f>
        <v>6860</v>
      </c>
      <c r="M11" s="18" t="s">
        <v>1048</v>
      </c>
      <c r="N11" s="25">
        <v>2156</v>
      </c>
      <c r="O11" s="18">
        <v>7320</v>
      </c>
      <c r="P11" s="18" t="s">
        <v>1048</v>
      </c>
      <c r="Q11" s="18" t="s">
        <v>1048</v>
      </c>
    </row>
    <row r="12" spans="1:17" ht="15.75" customHeight="1">
      <c r="A12" s="22" t="s">
        <v>241</v>
      </c>
      <c r="B12" s="18">
        <f t="shared" si="1"/>
        <v>48862</v>
      </c>
      <c r="C12" s="18">
        <f t="shared" si="2"/>
        <v>2403</v>
      </c>
      <c r="D12" s="18">
        <v>2403</v>
      </c>
      <c r="E12" s="18" t="s">
        <v>1048</v>
      </c>
      <c r="F12" s="18" t="s">
        <v>1048</v>
      </c>
      <c r="G12" s="18" t="s">
        <v>1048</v>
      </c>
      <c r="H12" s="25">
        <v>2027</v>
      </c>
      <c r="I12" s="18">
        <v>22223</v>
      </c>
      <c r="J12" s="18">
        <v>4767</v>
      </c>
      <c r="K12" s="18">
        <v>1462</v>
      </c>
      <c r="L12" s="18">
        <f>2385+2745+5645</f>
        <v>10775</v>
      </c>
      <c r="M12" s="18" t="s">
        <v>1048</v>
      </c>
      <c r="N12" s="18">
        <v>2473</v>
      </c>
      <c r="O12" s="18">
        <v>2732</v>
      </c>
      <c r="P12" s="18" t="s">
        <v>1048</v>
      </c>
      <c r="Q12" s="18" t="s">
        <v>1048</v>
      </c>
    </row>
    <row r="13" spans="1:17" ht="15.75" customHeight="1">
      <c r="A13" s="22" t="s">
        <v>242</v>
      </c>
      <c r="B13" s="18">
        <f t="shared" si="1"/>
        <v>56709</v>
      </c>
      <c r="C13" s="18">
        <f t="shared" si="2"/>
        <v>27494</v>
      </c>
      <c r="D13" s="18">
        <v>2348</v>
      </c>
      <c r="E13" s="18">
        <v>25146</v>
      </c>
      <c r="F13" s="26">
        <v>332</v>
      </c>
      <c r="G13" s="18" t="s">
        <v>1048</v>
      </c>
      <c r="H13" s="25">
        <v>1532</v>
      </c>
      <c r="I13" s="18">
        <v>12109</v>
      </c>
      <c r="J13" s="18">
        <v>3443</v>
      </c>
      <c r="K13" s="18">
        <v>2708</v>
      </c>
      <c r="L13" s="18">
        <f>1370+2100+2230</f>
        <v>5700</v>
      </c>
      <c r="M13" s="26">
        <f>104+301</f>
        <v>405</v>
      </c>
      <c r="N13" s="18">
        <v>506</v>
      </c>
      <c r="O13" s="18">
        <v>2480</v>
      </c>
      <c r="P13" s="18" t="s">
        <v>1048</v>
      </c>
      <c r="Q13" s="18" t="s">
        <v>1048</v>
      </c>
    </row>
    <row r="14" spans="1:17" ht="15.75" customHeight="1">
      <c r="A14" s="22" t="s">
        <v>243</v>
      </c>
      <c r="B14" s="18">
        <f t="shared" si="1"/>
        <v>27343</v>
      </c>
      <c r="C14" s="18">
        <f t="shared" si="2"/>
        <v>6007</v>
      </c>
      <c r="D14" s="18">
        <v>1597</v>
      </c>
      <c r="E14" s="18">
        <v>4410</v>
      </c>
      <c r="F14" s="26">
        <v>754</v>
      </c>
      <c r="G14" s="18" t="s">
        <v>1048</v>
      </c>
      <c r="H14" s="25">
        <v>798</v>
      </c>
      <c r="I14" s="18">
        <v>8966</v>
      </c>
      <c r="J14" s="18">
        <v>2235</v>
      </c>
      <c r="K14" s="18">
        <v>1795</v>
      </c>
      <c r="L14" s="18">
        <f>1215+851+2445</f>
        <v>4511</v>
      </c>
      <c r="M14" s="26">
        <f>78+474</f>
        <v>552</v>
      </c>
      <c r="N14" s="18">
        <v>1007</v>
      </c>
      <c r="O14" s="18">
        <v>718</v>
      </c>
      <c r="P14" s="18" t="s">
        <v>1048</v>
      </c>
      <c r="Q14" s="18" t="s">
        <v>1048</v>
      </c>
    </row>
    <row r="15" spans="1:17" ht="15.75" customHeight="1">
      <c r="A15" s="22" t="s">
        <v>244</v>
      </c>
      <c r="B15" s="18">
        <f t="shared" si="1"/>
        <v>41831</v>
      </c>
      <c r="C15" s="18">
        <f t="shared" si="2"/>
        <v>21457</v>
      </c>
      <c r="D15" s="18">
        <v>2532</v>
      </c>
      <c r="E15" s="18">
        <v>18925</v>
      </c>
      <c r="F15" s="26">
        <v>340</v>
      </c>
      <c r="G15" s="18" t="s">
        <v>1048</v>
      </c>
      <c r="H15" s="25">
        <v>848</v>
      </c>
      <c r="I15" s="18">
        <v>9917</v>
      </c>
      <c r="J15" s="18">
        <v>2425</v>
      </c>
      <c r="K15" s="18">
        <v>1687</v>
      </c>
      <c r="L15" s="18">
        <f>750+732+1385</f>
        <v>2867</v>
      </c>
      <c r="M15" s="26">
        <f>38+181</f>
        <v>219</v>
      </c>
      <c r="N15" s="18">
        <v>839</v>
      </c>
      <c r="O15" s="18">
        <v>1232</v>
      </c>
      <c r="P15" s="18" t="s">
        <v>1048</v>
      </c>
      <c r="Q15" s="18" t="s">
        <v>1048</v>
      </c>
    </row>
    <row r="16" spans="1:17" ht="15.75" customHeight="1">
      <c r="A16" s="22" t="s">
        <v>245</v>
      </c>
      <c r="B16" s="18">
        <f t="shared" si="1"/>
        <v>67027</v>
      </c>
      <c r="C16" s="18">
        <f t="shared" si="2"/>
        <v>22293</v>
      </c>
      <c r="D16" s="18">
        <v>4594</v>
      </c>
      <c r="E16" s="18">
        <v>17699</v>
      </c>
      <c r="F16" s="26">
        <v>497</v>
      </c>
      <c r="G16" s="18" t="s">
        <v>1048</v>
      </c>
      <c r="H16" s="25">
        <v>1697</v>
      </c>
      <c r="I16" s="18">
        <v>19874</v>
      </c>
      <c r="J16" s="18">
        <v>4277</v>
      </c>
      <c r="K16" s="18">
        <v>3659</v>
      </c>
      <c r="L16" s="18">
        <f>2447+2676+4161</f>
        <v>9284</v>
      </c>
      <c r="M16" s="26">
        <f>132+536</f>
        <v>668</v>
      </c>
      <c r="N16" s="18">
        <v>1341</v>
      </c>
      <c r="O16" s="18">
        <v>3437</v>
      </c>
      <c r="P16" s="18" t="s">
        <v>1048</v>
      </c>
      <c r="Q16" s="18" t="s">
        <v>1048</v>
      </c>
    </row>
    <row r="17" spans="1:17" ht="15.75" customHeight="1">
      <c r="A17" s="22" t="s">
        <v>246</v>
      </c>
      <c r="B17" s="18">
        <f t="shared" si="1"/>
        <v>60379</v>
      </c>
      <c r="C17" s="18">
        <f t="shared" si="2"/>
        <v>22852</v>
      </c>
      <c r="D17" s="18">
        <v>3703</v>
      </c>
      <c r="E17" s="18">
        <v>19149</v>
      </c>
      <c r="F17" s="18" t="s">
        <v>1048</v>
      </c>
      <c r="G17" s="18" t="s">
        <v>1048</v>
      </c>
      <c r="H17" s="25">
        <v>2242</v>
      </c>
      <c r="I17" s="18">
        <v>15364</v>
      </c>
      <c r="J17" s="18">
        <v>3461</v>
      </c>
      <c r="K17" s="18">
        <v>2519</v>
      </c>
      <c r="L17" s="18">
        <f>2730+3330+2909</f>
        <v>8969</v>
      </c>
      <c r="M17" s="26">
        <f>125+865</f>
        <v>990</v>
      </c>
      <c r="N17" s="18">
        <v>1137</v>
      </c>
      <c r="O17" s="18">
        <v>2845</v>
      </c>
      <c r="P17" s="18" t="s">
        <v>1048</v>
      </c>
      <c r="Q17" s="18" t="s">
        <v>1048</v>
      </c>
    </row>
    <row r="18" spans="1:17" ht="15.75" customHeight="1">
      <c r="A18" s="22" t="s">
        <v>247</v>
      </c>
      <c r="B18" s="18">
        <f t="shared" si="1"/>
        <v>28820</v>
      </c>
      <c r="C18" s="18">
        <f t="shared" si="2"/>
        <v>6996</v>
      </c>
      <c r="D18" s="18">
        <v>2117</v>
      </c>
      <c r="E18" s="18">
        <v>4879</v>
      </c>
      <c r="F18" s="26">
        <v>537</v>
      </c>
      <c r="G18" s="18" t="s">
        <v>1048</v>
      </c>
      <c r="H18" s="25">
        <v>272</v>
      </c>
      <c r="I18" s="18">
        <v>8079</v>
      </c>
      <c r="J18" s="18">
        <v>2050</v>
      </c>
      <c r="K18" s="18">
        <v>1829</v>
      </c>
      <c r="L18" s="18">
        <f>2826+1262+2313</f>
        <v>6401</v>
      </c>
      <c r="M18" s="26">
        <f>64+353</f>
        <v>417</v>
      </c>
      <c r="N18" s="18">
        <v>1206</v>
      </c>
      <c r="O18" s="18">
        <v>1033</v>
      </c>
      <c r="P18" s="18" t="s">
        <v>1048</v>
      </c>
      <c r="Q18" s="18" t="s">
        <v>1048</v>
      </c>
    </row>
    <row r="19" spans="1:17" ht="15.75" customHeight="1">
      <c r="A19" s="22" t="s">
        <v>248</v>
      </c>
      <c r="B19" s="18">
        <f t="shared" si="1"/>
        <v>31453</v>
      </c>
      <c r="C19" s="18">
        <f t="shared" si="2"/>
        <v>10393</v>
      </c>
      <c r="D19" s="18">
        <v>2070</v>
      </c>
      <c r="E19" s="18">
        <v>8323</v>
      </c>
      <c r="F19" s="26">
        <v>745</v>
      </c>
      <c r="G19" s="18" t="s">
        <v>1048</v>
      </c>
      <c r="H19" s="25">
        <v>861</v>
      </c>
      <c r="I19" s="18">
        <v>7130</v>
      </c>
      <c r="J19" s="18">
        <v>2642</v>
      </c>
      <c r="K19" s="18">
        <v>1765</v>
      </c>
      <c r="L19" s="18">
        <f>2626+1079+2386</f>
        <v>6091</v>
      </c>
      <c r="M19" s="26">
        <f>16+267</f>
        <v>283</v>
      </c>
      <c r="N19" s="18">
        <v>1077</v>
      </c>
      <c r="O19" s="18">
        <v>466</v>
      </c>
      <c r="P19" s="18" t="s">
        <v>1048</v>
      </c>
      <c r="Q19" s="18" t="s">
        <v>1048</v>
      </c>
    </row>
    <row r="20" spans="1:17" ht="15.75" customHeight="1">
      <c r="A20" s="22" t="s">
        <v>249</v>
      </c>
      <c r="B20" s="18">
        <f t="shared" si="1"/>
        <v>38334</v>
      </c>
      <c r="C20" s="18">
        <f t="shared" si="2"/>
        <v>10943</v>
      </c>
      <c r="D20" s="18">
        <v>2336</v>
      </c>
      <c r="E20" s="18">
        <v>8607</v>
      </c>
      <c r="F20" s="26">
        <v>452</v>
      </c>
      <c r="G20" s="18" t="s">
        <v>1048</v>
      </c>
      <c r="H20" s="25">
        <v>849</v>
      </c>
      <c r="I20" s="18">
        <v>10394</v>
      </c>
      <c r="J20" s="18">
        <v>2570</v>
      </c>
      <c r="K20" s="18">
        <v>3466</v>
      </c>
      <c r="L20" s="18">
        <f>2250+1285+3398</f>
        <v>6933</v>
      </c>
      <c r="M20" s="26">
        <f>122+404</f>
        <v>526</v>
      </c>
      <c r="N20" s="18">
        <v>889</v>
      </c>
      <c r="O20" s="18">
        <v>1312</v>
      </c>
      <c r="P20" s="18" t="s">
        <v>1048</v>
      </c>
      <c r="Q20" s="18" t="s">
        <v>1048</v>
      </c>
    </row>
    <row r="21" spans="1:17" ht="15.75" customHeight="1">
      <c r="A21" s="22" t="s">
        <v>250</v>
      </c>
      <c r="B21" s="18">
        <f t="shared" si="1"/>
        <v>29349</v>
      </c>
      <c r="C21" s="18">
        <f t="shared" si="2"/>
        <v>15497</v>
      </c>
      <c r="D21" s="18">
        <v>1084</v>
      </c>
      <c r="E21" s="18">
        <v>14413</v>
      </c>
      <c r="F21" s="26">
        <v>574</v>
      </c>
      <c r="G21" s="18" t="s">
        <v>1048</v>
      </c>
      <c r="H21" s="25">
        <v>420</v>
      </c>
      <c r="I21" s="18">
        <v>6145</v>
      </c>
      <c r="J21" s="18">
        <v>1851</v>
      </c>
      <c r="K21" s="18">
        <v>1090</v>
      </c>
      <c r="L21" s="18">
        <f>371+545+1373</f>
        <v>2289</v>
      </c>
      <c r="M21" s="26">
        <f>46+304</f>
        <v>350</v>
      </c>
      <c r="N21" s="18">
        <v>646</v>
      </c>
      <c r="O21" s="18">
        <v>487</v>
      </c>
      <c r="P21" s="18" t="s">
        <v>1048</v>
      </c>
      <c r="Q21" s="18" t="s">
        <v>1048</v>
      </c>
    </row>
    <row r="22" spans="1:17" ht="15.75" customHeight="1">
      <c r="A22" s="22" t="s">
        <v>251</v>
      </c>
      <c r="B22" s="18">
        <f t="shared" si="1"/>
        <v>19496</v>
      </c>
      <c r="C22" s="18">
        <f t="shared" si="2"/>
        <v>3484</v>
      </c>
      <c r="D22" s="18">
        <v>1195</v>
      </c>
      <c r="E22" s="18">
        <v>2289</v>
      </c>
      <c r="F22" s="26">
        <v>623</v>
      </c>
      <c r="G22" s="18" t="s">
        <v>1048</v>
      </c>
      <c r="H22" s="25">
        <v>793</v>
      </c>
      <c r="I22" s="18">
        <v>5496</v>
      </c>
      <c r="J22" s="18">
        <v>1808</v>
      </c>
      <c r="K22" s="18">
        <v>785</v>
      </c>
      <c r="L22" s="18">
        <f>2086+775+2534</f>
        <v>5395</v>
      </c>
      <c r="M22" s="26">
        <f>65+198</f>
        <v>263</v>
      </c>
      <c r="N22" s="18">
        <v>456</v>
      </c>
      <c r="O22" s="18">
        <v>393</v>
      </c>
      <c r="P22" s="18" t="s">
        <v>1048</v>
      </c>
      <c r="Q22" s="18" t="s">
        <v>1048</v>
      </c>
    </row>
    <row r="23" spans="1:17" ht="15.75" customHeight="1">
      <c r="A23" s="22" t="s">
        <v>252</v>
      </c>
      <c r="B23" s="18">
        <f t="shared" si="1"/>
        <v>32651</v>
      </c>
      <c r="C23" s="18">
        <f t="shared" si="2"/>
        <v>10610</v>
      </c>
      <c r="D23" s="18">
        <v>1289</v>
      </c>
      <c r="E23" s="18">
        <v>9321</v>
      </c>
      <c r="F23" s="26">
        <v>714</v>
      </c>
      <c r="G23" s="18" t="s">
        <v>1048</v>
      </c>
      <c r="H23" s="25">
        <v>477</v>
      </c>
      <c r="I23" s="18">
        <v>8095</v>
      </c>
      <c r="J23" s="18">
        <v>1879</v>
      </c>
      <c r="K23" s="18">
        <v>2145</v>
      </c>
      <c r="L23" s="18">
        <f>3110+982+1885</f>
        <v>5977</v>
      </c>
      <c r="M23" s="26">
        <f>35+863</f>
        <v>898</v>
      </c>
      <c r="N23" s="18">
        <v>1224</v>
      </c>
      <c r="O23" s="18">
        <v>632</v>
      </c>
      <c r="P23" s="18" t="s">
        <v>1048</v>
      </c>
      <c r="Q23" s="18" t="s">
        <v>1048</v>
      </c>
    </row>
    <row r="24" spans="1:17" ht="15.75" customHeight="1">
      <c r="A24" s="22" t="s">
        <v>253</v>
      </c>
      <c r="B24" s="18">
        <f t="shared" si="1"/>
        <v>38271</v>
      </c>
      <c r="C24" s="18">
        <f t="shared" si="2"/>
        <v>8377</v>
      </c>
      <c r="D24" s="18">
        <v>1168</v>
      </c>
      <c r="E24" s="18">
        <v>7209</v>
      </c>
      <c r="F24" s="26">
        <v>719</v>
      </c>
      <c r="G24" s="18" t="s">
        <v>1048</v>
      </c>
      <c r="H24" s="25">
        <v>834</v>
      </c>
      <c r="I24" s="18">
        <v>12094</v>
      </c>
      <c r="J24" s="18">
        <v>1933</v>
      </c>
      <c r="K24" s="18">
        <v>2543</v>
      </c>
      <c r="L24" s="18">
        <f>2377+3141+3358</f>
        <v>8876</v>
      </c>
      <c r="M24" s="26">
        <f>62+819</f>
        <v>881</v>
      </c>
      <c r="N24" s="18">
        <v>1228</v>
      </c>
      <c r="O24" s="18">
        <v>786</v>
      </c>
      <c r="P24" s="18" t="s">
        <v>1048</v>
      </c>
      <c r="Q24" s="18" t="s">
        <v>1048</v>
      </c>
    </row>
    <row r="25" spans="1:17" ht="15.75" customHeight="1">
      <c r="A25" s="27"/>
      <c r="B25" s="54"/>
      <c r="C25" s="29"/>
      <c r="D25" s="30"/>
      <c r="E25" s="30"/>
      <c r="F25" s="32"/>
      <c r="G25" s="33"/>
      <c r="H25" s="33"/>
      <c r="I25" s="33"/>
      <c r="J25" s="33"/>
      <c r="K25" s="34"/>
      <c r="L25" s="34"/>
      <c r="M25" s="34"/>
      <c r="N25" s="438"/>
      <c r="O25" s="34"/>
      <c r="P25" s="33"/>
      <c r="Q25" s="44"/>
    </row>
    <row r="26" spans="1:17" ht="15.75" customHeight="1">
      <c r="A26" s="36" t="s">
        <v>328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</row>
    <row r="27" spans="1:17" ht="15.75" customHeight="1">
      <c r="A27" s="36" t="s">
        <v>329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</row>
    <row r="28" spans="1:17" ht="15.75" customHeight="1">
      <c r="A28" s="36" t="s">
        <v>330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</row>
    <row r="29" spans="1:17" ht="15.75" customHeight="1">
      <c r="B29" s="1"/>
      <c r="F29" s="1"/>
      <c r="I29" s="1"/>
      <c r="L29" s="1"/>
      <c r="M29" s="1"/>
      <c r="N29" s="1"/>
      <c r="O29" s="1"/>
    </row>
    <row r="30" spans="1:17" ht="15.75" customHeight="1">
      <c r="A30" s="39" t="s">
        <v>1072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</row>
  </sheetData>
  <sheetProtection selectLockedCells="1" selectUnlockedCells="1"/>
  <mergeCells count="4">
    <mergeCell ref="A3:Q3"/>
    <mergeCell ref="A5:A6"/>
    <mergeCell ref="B5:B6"/>
    <mergeCell ref="C5:Q5"/>
  </mergeCells>
  <phoneticPr fontId="0" type="noConversion"/>
  <printOptions horizontalCentered="1" verticalCentered="1"/>
  <pageMargins left="0.27013888888888887" right="0" top="0" bottom="0" header="0.51180555555555551" footer="0.51180555555555551"/>
  <pageSetup firstPageNumber="0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6"/>
  <sheetViews>
    <sheetView workbookViewId="0">
      <selection activeCell="A3" sqref="A3:F4"/>
    </sheetView>
  </sheetViews>
  <sheetFormatPr baseColWidth="10" defaultColWidth="11.33203125" defaultRowHeight="15.75" customHeight="1"/>
  <cols>
    <col min="1" max="1" width="33.44140625" style="1" customWidth="1"/>
    <col min="2" max="3" width="11.6640625" style="1" customWidth="1"/>
    <col min="4" max="4" width="11.6640625" style="35" customWidth="1"/>
    <col min="5" max="5" width="11.6640625" style="1" customWidth="1"/>
    <col min="6" max="6" width="11.6640625" style="76" customWidth="1"/>
    <col min="7" max="256" width="11.33203125" style="1"/>
    <col min="257" max="257" width="33.44140625" style="1" customWidth="1"/>
    <col min="258" max="262" width="11.6640625" style="1" customWidth="1"/>
    <col min="263" max="512" width="11.33203125" style="1"/>
    <col min="513" max="513" width="33.44140625" style="1" customWidth="1"/>
    <col min="514" max="518" width="11.6640625" style="1" customWidth="1"/>
    <col min="519" max="768" width="11.33203125" style="1"/>
    <col min="769" max="769" width="33.44140625" style="1" customWidth="1"/>
    <col min="770" max="774" width="11.6640625" style="1" customWidth="1"/>
    <col min="775" max="1024" width="11.33203125" style="1"/>
    <col min="1025" max="1025" width="33.44140625" style="1" customWidth="1"/>
    <col min="1026" max="1030" width="11.6640625" style="1" customWidth="1"/>
    <col min="1031" max="1280" width="11.33203125" style="1"/>
    <col min="1281" max="1281" width="33.44140625" style="1" customWidth="1"/>
    <col min="1282" max="1286" width="11.6640625" style="1" customWidth="1"/>
    <col min="1287" max="1536" width="11.33203125" style="1"/>
    <col min="1537" max="1537" width="33.44140625" style="1" customWidth="1"/>
    <col min="1538" max="1542" width="11.6640625" style="1" customWidth="1"/>
    <col min="1543" max="1792" width="11.33203125" style="1"/>
    <col min="1793" max="1793" width="33.44140625" style="1" customWidth="1"/>
    <col min="1794" max="1798" width="11.6640625" style="1" customWidth="1"/>
    <col min="1799" max="2048" width="11.33203125" style="1"/>
    <col min="2049" max="2049" width="33.44140625" style="1" customWidth="1"/>
    <col min="2050" max="2054" width="11.6640625" style="1" customWidth="1"/>
    <col min="2055" max="2304" width="11.33203125" style="1"/>
    <col min="2305" max="2305" width="33.44140625" style="1" customWidth="1"/>
    <col min="2306" max="2310" width="11.6640625" style="1" customWidth="1"/>
    <col min="2311" max="2560" width="11.33203125" style="1"/>
    <col min="2561" max="2561" width="33.44140625" style="1" customWidth="1"/>
    <col min="2562" max="2566" width="11.6640625" style="1" customWidth="1"/>
    <col min="2567" max="2816" width="11.33203125" style="1"/>
    <col min="2817" max="2817" width="33.44140625" style="1" customWidth="1"/>
    <col min="2818" max="2822" width="11.6640625" style="1" customWidth="1"/>
    <col min="2823" max="3072" width="11.33203125" style="1"/>
    <col min="3073" max="3073" width="33.44140625" style="1" customWidth="1"/>
    <col min="3074" max="3078" width="11.6640625" style="1" customWidth="1"/>
    <col min="3079" max="3328" width="11.33203125" style="1"/>
    <col min="3329" max="3329" width="33.44140625" style="1" customWidth="1"/>
    <col min="3330" max="3334" width="11.6640625" style="1" customWidth="1"/>
    <col min="3335" max="3584" width="11.33203125" style="1"/>
    <col min="3585" max="3585" width="33.44140625" style="1" customWidth="1"/>
    <col min="3586" max="3590" width="11.6640625" style="1" customWidth="1"/>
    <col min="3591" max="3840" width="11.33203125" style="1"/>
    <col min="3841" max="3841" width="33.44140625" style="1" customWidth="1"/>
    <col min="3842" max="3846" width="11.6640625" style="1" customWidth="1"/>
    <col min="3847" max="4096" width="11.33203125" style="1"/>
    <col min="4097" max="4097" width="33.44140625" style="1" customWidth="1"/>
    <col min="4098" max="4102" width="11.6640625" style="1" customWidth="1"/>
    <col min="4103" max="4352" width="11.33203125" style="1"/>
    <col min="4353" max="4353" width="33.44140625" style="1" customWidth="1"/>
    <col min="4354" max="4358" width="11.6640625" style="1" customWidth="1"/>
    <col min="4359" max="4608" width="11.33203125" style="1"/>
    <col min="4609" max="4609" width="33.44140625" style="1" customWidth="1"/>
    <col min="4610" max="4614" width="11.6640625" style="1" customWidth="1"/>
    <col min="4615" max="4864" width="11.33203125" style="1"/>
    <col min="4865" max="4865" width="33.44140625" style="1" customWidth="1"/>
    <col min="4866" max="4870" width="11.6640625" style="1" customWidth="1"/>
    <col min="4871" max="5120" width="11.33203125" style="1"/>
    <col min="5121" max="5121" width="33.44140625" style="1" customWidth="1"/>
    <col min="5122" max="5126" width="11.6640625" style="1" customWidth="1"/>
    <col min="5127" max="5376" width="11.33203125" style="1"/>
    <col min="5377" max="5377" width="33.44140625" style="1" customWidth="1"/>
    <col min="5378" max="5382" width="11.6640625" style="1" customWidth="1"/>
    <col min="5383" max="5632" width="11.33203125" style="1"/>
    <col min="5633" max="5633" width="33.44140625" style="1" customWidth="1"/>
    <col min="5634" max="5638" width="11.6640625" style="1" customWidth="1"/>
    <col min="5639" max="5888" width="11.33203125" style="1"/>
    <col min="5889" max="5889" width="33.44140625" style="1" customWidth="1"/>
    <col min="5890" max="5894" width="11.6640625" style="1" customWidth="1"/>
    <col min="5895" max="6144" width="11.33203125" style="1"/>
    <col min="6145" max="6145" width="33.44140625" style="1" customWidth="1"/>
    <col min="6146" max="6150" width="11.6640625" style="1" customWidth="1"/>
    <col min="6151" max="6400" width="11.33203125" style="1"/>
    <col min="6401" max="6401" width="33.44140625" style="1" customWidth="1"/>
    <col min="6402" max="6406" width="11.6640625" style="1" customWidth="1"/>
    <col min="6407" max="6656" width="11.33203125" style="1"/>
    <col min="6657" max="6657" width="33.44140625" style="1" customWidth="1"/>
    <col min="6658" max="6662" width="11.6640625" style="1" customWidth="1"/>
    <col min="6663" max="6912" width="11.33203125" style="1"/>
    <col min="6913" max="6913" width="33.44140625" style="1" customWidth="1"/>
    <col min="6914" max="6918" width="11.6640625" style="1" customWidth="1"/>
    <col min="6919" max="7168" width="11.33203125" style="1"/>
    <col min="7169" max="7169" width="33.44140625" style="1" customWidth="1"/>
    <col min="7170" max="7174" width="11.6640625" style="1" customWidth="1"/>
    <col min="7175" max="7424" width="11.33203125" style="1"/>
    <col min="7425" max="7425" width="33.44140625" style="1" customWidth="1"/>
    <col min="7426" max="7430" width="11.6640625" style="1" customWidth="1"/>
    <col min="7431" max="7680" width="11.33203125" style="1"/>
    <col min="7681" max="7681" width="33.44140625" style="1" customWidth="1"/>
    <col min="7682" max="7686" width="11.6640625" style="1" customWidth="1"/>
    <col min="7687" max="7936" width="11.33203125" style="1"/>
    <col min="7937" max="7937" width="33.44140625" style="1" customWidth="1"/>
    <col min="7938" max="7942" width="11.6640625" style="1" customWidth="1"/>
    <col min="7943" max="8192" width="11.33203125" style="1"/>
    <col min="8193" max="8193" width="33.44140625" style="1" customWidth="1"/>
    <col min="8194" max="8198" width="11.6640625" style="1" customWidth="1"/>
    <col min="8199" max="8448" width="11.33203125" style="1"/>
    <col min="8449" max="8449" width="33.44140625" style="1" customWidth="1"/>
    <col min="8450" max="8454" width="11.6640625" style="1" customWidth="1"/>
    <col min="8455" max="8704" width="11.33203125" style="1"/>
    <col min="8705" max="8705" width="33.44140625" style="1" customWidth="1"/>
    <col min="8706" max="8710" width="11.6640625" style="1" customWidth="1"/>
    <col min="8711" max="8960" width="11.33203125" style="1"/>
    <col min="8961" max="8961" width="33.44140625" style="1" customWidth="1"/>
    <col min="8962" max="8966" width="11.6640625" style="1" customWidth="1"/>
    <col min="8967" max="9216" width="11.33203125" style="1"/>
    <col min="9217" max="9217" width="33.44140625" style="1" customWidth="1"/>
    <col min="9218" max="9222" width="11.6640625" style="1" customWidth="1"/>
    <col min="9223" max="9472" width="11.33203125" style="1"/>
    <col min="9473" max="9473" width="33.44140625" style="1" customWidth="1"/>
    <col min="9474" max="9478" width="11.6640625" style="1" customWidth="1"/>
    <col min="9479" max="9728" width="11.33203125" style="1"/>
    <col min="9729" max="9729" width="33.44140625" style="1" customWidth="1"/>
    <col min="9730" max="9734" width="11.6640625" style="1" customWidth="1"/>
    <col min="9735" max="9984" width="11.33203125" style="1"/>
    <col min="9985" max="9985" width="33.44140625" style="1" customWidth="1"/>
    <col min="9986" max="9990" width="11.6640625" style="1" customWidth="1"/>
    <col min="9991" max="10240" width="11.33203125" style="1"/>
    <col min="10241" max="10241" width="33.44140625" style="1" customWidth="1"/>
    <col min="10242" max="10246" width="11.6640625" style="1" customWidth="1"/>
    <col min="10247" max="10496" width="11.33203125" style="1"/>
    <col min="10497" max="10497" width="33.44140625" style="1" customWidth="1"/>
    <col min="10498" max="10502" width="11.6640625" style="1" customWidth="1"/>
    <col min="10503" max="10752" width="11.33203125" style="1"/>
    <col min="10753" max="10753" width="33.44140625" style="1" customWidth="1"/>
    <col min="10754" max="10758" width="11.6640625" style="1" customWidth="1"/>
    <col min="10759" max="11008" width="11.33203125" style="1"/>
    <col min="11009" max="11009" width="33.44140625" style="1" customWidth="1"/>
    <col min="11010" max="11014" width="11.6640625" style="1" customWidth="1"/>
    <col min="11015" max="11264" width="11.33203125" style="1"/>
    <col min="11265" max="11265" width="33.44140625" style="1" customWidth="1"/>
    <col min="11266" max="11270" width="11.6640625" style="1" customWidth="1"/>
    <col min="11271" max="11520" width="11.33203125" style="1"/>
    <col min="11521" max="11521" width="33.44140625" style="1" customWidth="1"/>
    <col min="11522" max="11526" width="11.6640625" style="1" customWidth="1"/>
    <col min="11527" max="11776" width="11.33203125" style="1"/>
    <col min="11777" max="11777" width="33.44140625" style="1" customWidth="1"/>
    <col min="11778" max="11782" width="11.6640625" style="1" customWidth="1"/>
    <col min="11783" max="12032" width="11.33203125" style="1"/>
    <col min="12033" max="12033" width="33.44140625" style="1" customWidth="1"/>
    <col min="12034" max="12038" width="11.6640625" style="1" customWidth="1"/>
    <col min="12039" max="12288" width="11.33203125" style="1"/>
    <col min="12289" max="12289" width="33.44140625" style="1" customWidth="1"/>
    <col min="12290" max="12294" width="11.6640625" style="1" customWidth="1"/>
    <col min="12295" max="12544" width="11.33203125" style="1"/>
    <col min="12545" max="12545" width="33.44140625" style="1" customWidth="1"/>
    <col min="12546" max="12550" width="11.6640625" style="1" customWidth="1"/>
    <col min="12551" max="12800" width="11.33203125" style="1"/>
    <col min="12801" max="12801" width="33.44140625" style="1" customWidth="1"/>
    <col min="12802" max="12806" width="11.6640625" style="1" customWidth="1"/>
    <col min="12807" max="13056" width="11.33203125" style="1"/>
    <col min="13057" max="13057" width="33.44140625" style="1" customWidth="1"/>
    <col min="13058" max="13062" width="11.6640625" style="1" customWidth="1"/>
    <col min="13063" max="13312" width="11.33203125" style="1"/>
    <col min="13313" max="13313" width="33.44140625" style="1" customWidth="1"/>
    <col min="13314" max="13318" width="11.6640625" style="1" customWidth="1"/>
    <col min="13319" max="13568" width="11.33203125" style="1"/>
    <col min="13569" max="13569" width="33.44140625" style="1" customWidth="1"/>
    <col min="13570" max="13574" width="11.6640625" style="1" customWidth="1"/>
    <col min="13575" max="13824" width="11.33203125" style="1"/>
    <col min="13825" max="13825" width="33.44140625" style="1" customWidth="1"/>
    <col min="13826" max="13830" width="11.6640625" style="1" customWidth="1"/>
    <col min="13831" max="14080" width="11.33203125" style="1"/>
    <col min="14081" max="14081" width="33.44140625" style="1" customWidth="1"/>
    <col min="14082" max="14086" width="11.6640625" style="1" customWidth="1"/>
    <col min="14087" max="14336" width="11.33203125" style="1"/>
    <col min="14337" max="14337" width="33.44140625" style="1" customWidth="1"/>
    <col min="14338" max="14342" width="11.6640625" style="1" customWidth="1"/>
    <col min="14343" max="14592" width="11.33203125" style="1"/>
    <col min="14593" max="14593" width="33.44140625" style="1" customWidth="1"/>
    <col min="14594" max="14598" width="11.6640625" style="1" customWidth="1"/>
    <col min="14599" max="14848" width="11.33203125" style="1"/>
    <col min="14849" max="14849" width="33.44140625" style="1" customWidth="1"/>
    <col min="14850" max="14854" width="11.6640625" style="1" customWidth="1"/>
    <col min="14855" max="15104" width="11.33203125" style="1"/>
    <col min="15105" max="15105" width="33.44140625" style="1" customWidth="1"/>
    <col min="15106" max="15110" width="11.6640625" style="1" customWidth="1"/>
    <col min="15111" max="15360" width="11.33203125" style="1"/>
    <col min="15361" max="15361" width="33.44140625" style="1" customWidth="1"/>
    <col min="15362" max="15366" width="11.6640625" style="1" customWidth="1"/>
    <col min="15367" max="15616" width="11.33203125" style="1"/>
    <col min="15617" max="15617" width="33.44140625" style="1" customWidth="1"/>
    <col min="15618" max="15622" width="11.6640625" style="1" customWidth="1"/>
    <col min="15623" max="15872" width="11.33203125" style="1"/>
    <col min="15873" max="15873" width="33.44140625" style="1" customWidth="1"/>
    <col min="15874" max="15878" width="11.6640625" style="1" customWidth="1"/>
    <col min="15879" max="16128" width="11.33203125" style="1"/>
    <col min="16129" max="16129" width="33.44140625" style="1" customWidth="1"/>
    <col min="16130" max="16134" width="11.6640625" style="1" customWidth="1"/>
    <col min="16135" max="16384" width="11.33203125" style="1"/>
  </cols>
  <sheetData>
    <row r="1" spans="1:6" ht="15.75" customHeight="1">
      <c r="A1" s="3" t="s">
        <v>331</v>
      </c>
      <c r="B1" s="2"/>
      <c r="D1" s="37"/>
      <c r="E1" s="4"/>
      <c r="F1" s="90"/>
    </row>
    <row r="2" spans="1:6" ht="15.75" customHeight="1">
      <c r="B2" s="4"/>
      <c r="C2" s="4"/>
      <c r="D2" s="41"/>
    </row>
    <row r="3" spans="1:6" ht="15.75" customHeight="1">
      <c r="A3" s="447" t="s">
        <v>332</v>
      </c>
      <c r="B3" s="447"/>
      <c r="C3" s="447"/>
      <c r="D3" s="447"/>
      <c r="E3" s="447"/>
      <c r="F3" s="447"/>
    </row>
    <row r="4" spans="1:6" ht="15.75" customHeight="1">
      <c r="A4" s="447" t="s">
        <v>1051</v>
      </c>
      <c r="B4" s="447"/>
      <c r="C4" s="447"/>
      <c r="D4" s="447"/>
      <c r="E4" s="447"/>
      <c r="F4" s="447"/>
    </row>
    <row r="5" spans="1:6" ht="15.75" customHeight="1">
      <c r="A5" s="55"/>
      <c r="B5" s="5"/>
      <c r="C5" s="5"/>
      <c r="D5" s="56"/>
      <c r="E5" s="5"/>
      <c r="F5" s="426"/>
    </row>
    <row r="6" spans="1:6" ht="15.75" customHeight="1">
      <c r="A6" s="57"/>
      <c r="B6" s="448"/>
      <c r="C6" s="448"/>
      <c r="D6" s="448"/>
      <c r="E6" s="448"/>
      <c r="F6" s="448"/>
    </row>
    <row r="7" spans="1:6" ht="15.75" customHeight="1">
      <c r="A7" s="58" t="s">
        <v>222</v>
      </c>
      <c r="B7" s="449">
        <v>2012</v>
      </c>
      <c r="C7" s="449">
        <v>2013</v>
      </c>
      <c r="D7" s="449">
        <v>2014</v>
      </c>
      <c r="E7" s="445">
        <v>2015</v>
      </c>
      <c r="F7" s="445">
        <v>2016</v>
      </c>
    </row>
    <row r="8" spans="1:6" ht="15.75" customHeight="1">
      <c r="A8" s="59"/>
      <c r="B8" s="450"/>
      <c r="C8" s="450"/>
      <c r="D8" s="450"/>
      <c r="E8" s="451"/>
      <c r="F8" s="452"/>
    </row>
    <row r="9" spans="1:6" ht="15.75" customHeight="1">
      <c r="A9" s="428"/>
      <c r="B9" s="12"/>
      <c r="C9" s="11"/>
      <c r="D9" s="60"/>
      <c r="E9" s="423"/>
      <c r="F9" s="434"/>
    </row>
    <row r="10" spans="1:6" ht="15.75" customHeight="1">
      <c r="A10" s="61" t="s">
        <v>221</v>
      </c>
      <c r="B10" s="63">
        <f>SUM(B12,B18,B20,B22,B24,B26,B28,B30,B32,B34,B36,B38,B40)</f>
        <v>622152</v>
      </c>
      <c r="C10" s="63">
        <f>SUM(C12,C18,C20,C22,C24,C26,C28,C30,C32,C34,C36,C38,C40)</f>
        <v>629757</v>
      </c>
      <c r="D10" s="63">
        <f>SUM(D12,D18,D20,D22,D24,D26,D28,D30,D32,D34,D36,D38,D40)</f>
        <v>644873</v>
      </c>
      <c r="E10" s="424">
        <f>SUM(E12,E18,E20,E22,E24,E26,E28,E30,E32,E34,E36,E38,E40)</f>
        <v>638357</v>
      </c>
      <c r="F10" s="424">
        <f>SUM(F12,F18,F20,F22,F24,F26,F28,F30,F32,F34,F36,F38,F40)</f>
        <v>665930</v>
      </c>
    </row>
    <row r="11" spans="1:6" ht="15.75" customHeight="1">
      <c r="A11" s="11"/>
      <c r="B11" s="435"/>
      <c r="C11" s="65"/>
      <c r="D11" s="65"/>
      <c r="E11" s="420"/>
      <c r="F11" s="434"/>
    </row>
    <row r="12" spans="1:6" ht="15.75" customHeight="1">
      <c r="A12" s="11" t="s">
        <v>333</v>
      </c>
      <c r="B12" s="416">
        <f>SUM(B14,B16)</f>
        <v>176613</v>
      </c>
      <c r="C12" s="66">
        <f>SUM(C14,C16)</f>
        <v>165047</v>
      </c>
      <c r="D12" s="66">
        <f>SUM(D14,D16)</f>
        <v>159949</v>
      </c>
      <c r="E12" s="419">
        <v>150269</v>
      </c>
      <c r="F12" s="419">
        <f>SUM(F14,F16)</f>
        <v>181167</v>
      </c>
    </row>
    <row r="13" spans="1:6" ht="15.75" customHeight="1">
      <c r="A13" s="11"/>
      <c r="B13" s="435"/>
      <c r="C13" s="65"/>
      <c r="D13" s="65"/>
      <c r="E13" s="420"/>
      <c r="F13" s="434"/>
    </row>
    <row r="14" spans="1:6" ht="15.75" customHeight="1">
      <c r="A14" s="67" t="s">
        <v>334</v>
      </c>
      <c r="B14" s="435">
        <v>35903</v>
      </c>
      <c r="C14" s="65">
        <v>16691</v>
      </c>
      <c r="D14" s="427">
        <v>16740</v>
      </c>
      <c r="E14" s="422">
        <v>16503</v>
      </c>
      <c r="F14" s="434">
        <v>16645</v>
      </c>
    </row>
    <row r="15" spans="1:6" ht="15.75" customHeight="1">
      <c r="A15" s="67"/>
      <c r="B15" s="435"/>
      <c r="C15" s="65"/>
      <c r="D15" s="65"/>
      <c r="E15" s="420"/>
      <c r="F15" s="434"/>
    </row>
    <row r="16" spans="1:6" ht="15.75" customHeight="1">
      <c r="A16" s="67" t="s">
        <v>335</v>
      </c>
      <c r="B16" s="435">
        <v>140710</v>
      </c>
      <c r="C16" s="65">
        <v>148356</v>
      </c>
      <c r="D16" s="427">
        <v>143209</v>
      </c>
      <c r="E16" s="422">
        <v>133766</v>
      </c>
      <c r="F16" s="434">
        <v>164522</v>
      </c>
    </row>
    <row r="17" spans="1:6" ht="15.75" customHeight="1">
      <c r="A17" s="67"/>
      <c r="B17" s="435"/>
      <c r="C17" s="65"/>
      <c r="D17" s="65"/>
      <c r="E17" s="420"/>
      <c r="F17" s="434"/>
    </row>
    <row r="18" spans="1:6" ht="15.75" customHeight="1">
      <c r="A18" s="11" t="s">
        <v>226</v>
      </c>
      <c r="B18" s="435">
        <v>2952</v>
      </c>
      <c r="C18" s="65">
        <v>3175</v>
      </c>
      <c r="D18" s="427">
        <v>3181</v>
      </c>
      <c r="E18" s="422">
        <v>3275</v>
      </c>
      <c r="F18" s="434">
        <v>3058</v>
      </c>
    </row>
    <row r="19" spans="1:6" ht="15.75" customHeight="1">
      <c r="A19" s="11"/>
      <c r="B19" s="435"/>
      <c r="C19" s="65"/>
      <c r="D19" s="65"/>
      <c r="E19" s="420"/>
      <c r="F19" s="434"/>
    </row>
    <row r="20" spans="1:6" ht="15.75" customHeight="1">
      <c r="A20" s="67" t="s">
        <v>336</v>
      </c>
      <c r="B20" s="435">
        <v>8330</v>
      </c>
      <c r="C20" s="65">
        <v>10128</v>
      </c>
      <c r="D20" s="427">
        <v>13953</v>
      </c>
      <c r="E20" s="422">
        <v>12742</v>
      </c>
      <c r="F20" s="434">
        <v>14758</v>
      </c>
    </row>
    <row r="21" spans="1:6" ht="15.75" customHeight="1">
      <c r="A21" s="11"/>
      <c r="B21" s="435"/>
      <c r="C21" s="65"/>
      <c r="D21" s="65"/>
      <c r="E21" s="420"/>
      <c r="F21" s="434"/>
    </row>
    <row r="22" spans="1:6" ht="15.75" customHeight="1">
      <c r="A22" s="11" t="s">
        <v>228</v>
      </c>
      <c r="B22" s="435">
        <v>27411</v>
      </c>
      <c r="C22" s="65">
        <v>27996</v>
      </c>
      <c r="D22" s="427">
        <v>28110</v>
      </c>
      <c r="E22" s="422">
        <v>29884</v>
      </c>
      <c r="F22" s="434">
        <v>29922</v>
      </c>
    </row>
    <row r="23" spans="1:6" ht="15.75" customHeight="1">
      <c r="A23" s="11"/>
      <c r="B23" s="435"/>
      <c r="C23" s="65"/>
      <c r="D23" s="65"/>
      <c r="E23" s="420"/>
      <c r="F23" s="434"/>
    </row>
    <row r="24" spans="1:6" ht="15.75" customHeight="1">
      <c r="A24" s="67" t="s">
        <v>229</v>
      </c>
      <c r="B24" s="435">
        <v>34184</v>
      </c>
      <c r="C24" s="65">
        <v>37832</v>
      </c>
      <c r="D24" s="427">
        <v>38202</v>
      </c>
      <c r="E24" s="422">
        <v>41038</v>
      </c>
      <c r="F24" s="434">
        <v>40001</v>
      </c>
    </row>
    <row r="25" spans="1:6" ht="15.75" customHeight="1">
      <c r="A25" s="67"/>
      <c r="B25" s="435"/>
      <c r="C25" s="65"/>
      <c r="D25" s="65"/>
      <c r="E25" s="420"/>
      <c r="F25" s="434"/>
    </row>
    <row r="26" spans="1:6" ht="15.75" customHeight="1">
      <c r="A26" s="67" t="s">
        <v>230</v>
      </c>
      <c r="B26" s="435">
        <v>48152</v>
      </c>
      <c r="C26" s="65">
        <v>46959</v>
      </c>
      <c r="D26" s="427">
        <v>47957</v>
      </c>
      <c r="E26" s="422">
        <v>48485</v>
      </c>
      <c r="F26" s="434">
        <v>48607</v>
      </c>
    </row>
    <row r="27" spans="1:6" ht="15.75" customHeight="1">
      <c r="A27" s="11"/>
      <c r="B27" s="435"/>
      <c r="C27" s="65"/>
      <c r="D27" s="65"/>
      <c r="E27" s="420"/>
      <c r="F27" s="434"/>
    </row>
    <row r="28" spans="1:6" ht="15.75" customHeight="1">
      <c r="A28" s="67" t="s">
        <v>231</v>
      </c>
      <c r="B28" s="435">
        <v>28962</v>
      </c>
      <c r="C28" s="65">
        <v>30361</v>
      </c>
      <c r="D28" s="427">
        <v>31019</v>
      </c>
      <c r="E28" s="422">
        <v>34317</v>
      </c>
      <c r="F28" s="434">
        <v>31450</v>
      </c>
    </row>
    <row r="29" spans="1:6" ht="15.75" customHeight="1">
      <c r="A29" s="11"/>
      <c r="B29" s="435"/>
      <c r="C29" s="65"/>
      <c r="D29" s="65"/>
      <c r="E29" s="420"/>
      <c r="F29" s="434"/>
    </row>
    <row r="30" spans="1:6" ht="15.75" customHeight="1">
      <c r="A30" s="67" t="s">
        <v>232</v>
      </c>
      <c r="B30" s="435">
        <v>158538</v>
      </c>
      <c r="C30" s="65">
        <v>173852</v>
      </c>
      <c r="D30" s="427">
        <v>183275</v>
      </c>
      <c r="E30" s="422">
        <v>171218</v>
      </c>
      <c r="F30" s="434">
        <f>167252+399</f>
        <v>167651</v>
      </c>
    </row>
    <row r="31" spans="1:6" ht="15.75" customHeight="1">
      <c r="A31" s="67"/>
      <c r="B31" s="435"/>
      <c r="C31" s="65"/>
      <c r="D31" s="65"/>
      <c r="E31" s="420"/>
      <c r="F31" s="434"/>
    </row>
    <row r="32" spans="1:6" ht="15.75" customHeight="1">
      <c r="A32" s="67" t="s">
        <v>233</v>
      </c>
      <c r="B32" s="435">
        <v>10916</v>
      </c>
      <c r="C32" s="65">
        <v>10791</v>
      </c>
      <c r="D32" s="427">
        <v>9773</v>
      </c>
      <c r="E32" s="422">
        <v>9105</v>
      </c>
      <c r="F32" s="434">
        <v>9317</v>
      </c>
    </row>
    <row r="33" spans="1:6" ht="15.75" customHeight="1">
      <c r="A33" s="67"/>
      <c r="B33" s="435"/>
      <c r="C33" s="65"/>
      <c r="D33" s="65"/>
      <c r="E33" s="420"/>
      <c r="F33" s="434"/>
    </row>
    <row r="34" spans="1:6" ht="15.75" customHeight="1">
      <c r="A34" s="67" t="s">
        <v>337</v>
      </c>
      <c r="B34" s="435">
        <v>48756</v>
      </c>
      <c r="C34" s="65">
        <v>45299</v>
      </c>
      <c r="D34" s="427">
        <v>42503</v>
      </c>
      <c r="E34" s="422">
        <v>41290</v>
      </c>
      <c r="F34" s="434">
        <v>39356</v>
      </c>
    </row>
    <row r="35" spans="1:6" ht="15.75" customHeight="1">
      <c r="A35" s="67"/>
      <c r="B35" s="435"/>
      <c r="C35" s="65"/>
      <c r="D35" s="65"/>
      <c r="E35" s="420"/>
      <c r="F35" s="434"/>
    </row>
    <row r="36" spans="1:6" ht="15.75" customHeight="1">
      <c r="A36" s="67" t="s">
        <v>235</v>
      </c>
      <c r="B36" s="435">
        <v>59312</v>
      </c>
      <c r="C36" s="65">
        <v>62144</v>
      </c>
      <c r="D36" s="427">
        <v>66447</v>
      </c>
      <c r="E36" s="422">
        <v>77236</v>
      </c>
      <c r="F36" s="434">
        <f>'c-1'!O8</f>
        <v>81515</v>
      </c>
    </row>
    <row r="37" spans="1:6" ht="15.75" customHeight="1">
      <c r="A37" s="67"/>
      <c r="B37" s="435"/>
      <c r="C37" s="65"/>
      <c r="D37" s="65"/>
      <c r="E37" s="420"/>
      <c r="F37" s="434"/>
    </row>
    <row r="38" spans="1:6" ht="15.75" customHeight="1">
      <c r="A38" s="67" t="s">
        <v>338</v>
      </c>
      <c r="B38" s="435">
        <v>17002</v>
      </c>
      <c r="C38" s="65">
        <v>15259</v>
      </c>
      <c r="D38" s="427">
        <v>19476</v>
      </c>
      <c r="E38" s="422">
        <v>18569</v>
      </c>
      <c r="F38" s="434">
        <f>'c-1'!P8</f>
        <v>17967</v>
      </c>
    </row>
    <row r="39" spans="1:6" ht="15.75" customHeight="1">
      <c r="A39" s="67"/>
      <c r="B39" s="435"/>
      <c r="C39" s="65"/>
      <c r="D39" s="65"/>
      <c r="E39" s="420"/>
      <c r="F39" s="434"/>
    </row>
    <row r="40" spans="1:6" ht="15.75" customHeight="1">
      <c r="A40" s="67" t="s">
        <v>339</v>
      </c>
      <c r="B40" s="435">
        <v>1024</v>
      </c>
      <c r="C40" s="65">
        <v>914</v>
      </c>
      <c r="D40" s="427">
        <v>1028</v>
      </c>
      <c r="E40" s="422">
        <v>929</v>
      </c>
      <c r="F40" s="434">
        <f>'c-1'!Q8</f>
        <v>1161</v>
      </c>
    </row>
    <row r="41" spans="1:6" ht="15.75" customHeight="1">
      <c r="A41" s="68"/>
      <c r="B41" s="69"/>
      <c r="C41" s="70"/>
      <c r="D41" s="71"/>
      <c r="E41" s="425"/>
      <c r="F41" s="434"/>
    </row>
    <row r="42" spans="1:6" ht="15.75" customHeight="1">
      <c r="A42" s="72" t="s">
        <v>340</v>
      </c>
    </row>
    <row r="43" spans="1:6" ht="15.75" customHeight="1">
      <c r="A43" s="72" t="s">
        <v>341</v>
      </c>
    </row>
    <row r="44" spans="1:6" ht="15.75" customHeight="1">
      <c r="A44" s="74" t="s">
        <v>342</v>
      </c>
    </row>
    <row r="45" spans="1:6" ht="15.75" customHeight="1">
      <c r="A45" s="74" t="s">
        <v>343</v>
      </c>
    </row>
    <row r="46" spans="1:6" ht="15.75" customHeight="1">
      <c r="A46" s="39" t="s">
        <v>1072</v>
      </c>
    </row>
  </sheetData>
  <sheetProtection selectLockedCells="1" selectUnlockedCells="1"/>
  <mergeCells count="8">
    <mergeCell ref="A3:F3"/>
    <mergeCell ref="A4:F4"/>
    <mergeCell ref="B6:F6"/>
    <mergeCell ref="B7:B8"/>
    <mergeCell ref="C7:C8"/>
    <mergeCell ref="D7:D8"/>
    <mergeCell ref="E7:E8"/>
    <mergeCell ref="F7:F8"/>
  </mergeCells>
  <printOptions horizontalCentered="1" verticalCentered="1"/>
  <pageMargins left="0.78749999999999998" right="0.78749999999999998" top="0.98402777777777772" bottom="0.98402777777777772" header="0.51180555555555551" footer="0.51180555555555551"/>
  <pageSetup scale="80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50"/>
  <sheetViews>
    <sheetView workbookViewId="0">
      <selection activeCell="A3" sqref="A3:F4"/>
    </sheetView>
  </sheetViews>
  <sheetFormatPr baseColWidth="10" defaultColWidth="11.33203125" defaultRowHeight="15.6"/>
  <cols>
    <col min="1" max="1" width="28.33203125" style="1" customWidth="1"/>
    <col min="2" max="3" width="11.6640625" style="1" customWidth="1"/>
    <col min="4" max="4" width="11.6640625" style="35" customWidth="1"/>
    <col min="5" max="6" width="11.6640625" style="1" customWidth="1"/>
    <col min="7" max="256" width="11.33203125" style="1"/>
    <col min="257" max="257" width="28.33203125" style="1" customWidth="1"/>
    <col min="258" max="262" width="11.6640625" style="1" customWidth="1"/>
    <col min="263" max="512" width="11.33203125" style="1"/>
    <col min="513" max="513" width="28.33203125" style="1" customWidth="1"/>
    <col min="514" max="518" width="11.6640625" style="1" customWidth="1"/>
    <col min="519" max="768" width="11.33203125" style="1"/>
    <col min="769" max="769" width="28.33203125" style="1" customWidth="1"/>
    <col min="770" max="774" width="11.6640625" style="1" customWidth="1"/>
    <col min="775" max="1024" width="11.33203125" style="1"/>
    <col min="1025" max="1025" width="28.33203125" style="1" customWidth="1"/>
    <col min="1026" max="1030" width="11.6640625" style="1" customWidth="1"/>
    <col min="1031" max="1280" width="11.33203125" style="1"/>
    <col min="1281" max="1281" width="28.33203125" style="1" customWidth="1"/>
    <col min="1282" max="1286" width="11.6640625" style="1" customWidth="1"/>
    <col min="1287" max="1536" width="11.33203125" style="1"/>
    <col min="1537" max="1537" width="28.33203125" style="1" customWidth="1"/>
    <col min="1538" max="1542" width="11.6640625" style="1" customWidth="1"/>
    <col min="1543" max="1792" width="11.33203125" style="1"/>
    <col min="1793" max="1793" width="28.33203125" style="1" customWidth="1"/>
    <col min="1794" max="1798" width="11.6640625" style="1" customWidth="1"/>
    <col min="1799" max="2048" width="11.33203125" style="1"/>
    <col min="2049" max="2049" width="28.33203125" style="1" customWidth="1"/>
    <col min="2050" max="2054" width="11.6640625" style="1" customWidth="1"/>
    <col min="2055" max="2304" width="11.33203125" style="1"/>
    <col min="2305" max="2305" width="28.33203125" style="1" customWidth="1"/>
    <col min="2306" max="2310" width="11.6640625" style="1" customWidth="1"/>
    <col min="2311" max="2560" width="11.33203125" style="1"/>
    <col min="2561" max="2561" width="28.33203125" style="1" customWidth="1"/>
    <col min="2562" max="2566" width="11.6640625" style="1" customWidth="1"/>
    <col min="2567" max="2816" width="11.33203125" style="1"/>
    <col min="2817" max="2817" width="28.33203125" style="1" customWidth="1"/>
    <col min="2818" max="2822" width="11.6640625" style="1" customWidth="1"/>
    <col min="2823" max="3072" width="11.33203125" style="1"/>
    <col min="3073" max="3073" width="28.33203125" style="1" customWidth="1"/>
    <col min="3074" max="3078" width="11.6640625" style="1" customWidth="1"/>
    <col min="3079" max="3328" width="11.33203125" style="1"/>
    <col min="3329" max="3329" width="28.33203125" style="1" customWidth="1"/>
    <col min="3330" max="3334" width="11.6640625" style="1" customWidth="1"/>
    <col min="3335" max="3584" width="11.33203125" style="1"/>
    <col min="3585" max="3585" width="28.33203125" style="1" customWidth="1"/>
    <col min="3586" max="3590" width="11.6640625" style="1" customWidth="1"/>
    <col min="3591" max="3840" width="11.33203125" style="1"/>
    <col min="3841" max="3841" width="28.33203125" style="1" customWidth="1"/>
    <col min="3842" max="3846" width="11.6640625" style="1" customWidth="1"/>
    <col min="3847" max="4096" width="11.33203125" style="1"/>
    <col min="4097" max="4097" width="28.33203125" style="1" customWidth="1"/>
    <col min="4098" max="4102" width="11.6640625" style="1" customWidth="1"/>
    <col min="4103" max="4352" width="11.33203125" style="1"/>
    <col min="4353" max="4353" width="28.33203125" style="1" customWidth="1"/>
    <col min="4354" max="4358" width="11.6640625" style="1" customWidth="1"/>
    <col min="4359" max="4608" width="11.33203125" style="1"/>
    <col min="4609" max="4609" width="28.33203125" style="1" customWidth="1"/>
    <col min="4610" max="4614" width="11.6640625" style="1" customWidth="1"/>
    <col min="4615" max="4864" width="11.33203125" style="1"/>
    <col min="4865" max="4865" width="28.33203125" style="1" customWidth="1"/>
    <col min="4866" max="4870" width="11.6640625" style="1" customWidth="1"/>
    <col min="4871" max="5120" width="11.33203125" style="1"/>
    <col min="5121" max="5121" width="28.33203125" style="1" customWidth="1"/>
    <col min="5122" max="5126" width="11.6640625" style="1" customWidth="1"/>
    <col min="5127" max="5376" width="11.33203125" style="1"/>
    <col min="5377" max="5377" width="28.33203125" style="1" customWidth="1"/>
    <col min="5378" max="5382" width="11.6640625" style="1" customWidth="1"/>
    <col min="5383" max="5632" width="11.33203125" style="1"/>
    <col min="5633" max="5633" width="28.33203125" style="1" customWidth="1"/>
    <col min="5634" max="5638" width="11.6640625" style="1" customWidth="1"/>
    <col min="5639" max="5888" width="11.33203125" style="1"/>
    <col min="5889" max="5889" width="28.33203125" style="1" customWidth="1"/>
    <col min="5890" max="5894" width="11.6640625" style="1" customWidth="1"/>
    <col min="5895" max="6144" width="11.33203125" style="1"/>
    <col min="6145" max="6145" width="28.33203125" style="1" customWidth="1"/>
    <col min="6146" max="6150" width="11.6640625" style="1" customWidth="1"/>
    <col min="6151" max="6400" width="11.33203125" style="1"/>
    <col min="6401" max="6401" width="28.33203125" style="1" customWidth="1"/>
    <col min="6402" max="6406" width="11.6640625" style="1" customWidth="1"/>
    <col min="6407" max="6656" width="11.33203125" style="1"/>
    <col min="6657" max="6657" width="28.33203125" style="1" customWidth="1"/>
    <col min="6658" max="6662" width="11.6640625" style="1" customWidth="1"/>
    <col min="6663" max="6912" width="11.33203125" style="1"/>
    <col min="6913" max="6913" width="28.33203125" style="1" customWidth="1"/>
    <col min="6914" max="6918" width="11.6640625" style="1" customWidth="1"/>
    <col min="6919" max="7168" width="11.33203125" style="1"/>
    <col min="7169" max="7169" width="28.33203125" style="1" customWidth="1"/>
    <col min="7170" max="7174" width="11.6640625" style="1" customWidth="1"/>
    <col min="7175" max="7424" width="11.33203125" style="1"/>
    <col min="7425" max="7425" width="28.33203125" style="1" customWidth="1"/>
    <col min="7426" max="7430" width="11.6640625" style="1" customWidth="1"/>
    <col min="7431" max="7680" width="11.33203125" style="1"/>
    <col min="7681" max="7681" width="28.33203125" style="1" customWidth="1"/>
    <col min="7682" max="7686" width="11.6640625" style="1" customWidth="1"/>
    <col min="7687" max="7936" width="11.33203125" style="1"/>
    <col min="7937" max="7937" width="28.33203125" style="1" customWidth="1"/>
    <col min="7938" max="7942" width="11.6640625" style="1" customWidth="1"/>
    <col min="7943" max="8192" width="11.33203125" style="1"/>
    <col min="8193" max="8193" width="28.33203125" style="1" customWidth="1"/>
    <col min="8194" max="8198" width="11.6640625" style="1" customWidth="1"/>
    <col min="8199" max="8448" width="11.33203125" style="1"/>
    <col min="8449" max="8449" width="28.33203125" style="1" customWidth="1"/>
    <col min="8450" max="8454" width="11.6640625" style="1" customWidth="1"/>
    <col min="8455" max="8704" width="11.33203125" style="1"/>
    <col min="8705" max="8705" width="28.33203125" style="1" customWidth="1"/>
    <col min="8706" max="8710" width="11.6640625" style="1" customWidth="1"/>
    <col min="8711" max="8960" width="11.33203125" style="1"/>
    <col min="8961" max="8961" width="28.33203125" style="1" customWidth="1"/>
    <col min="8962" max="8966" width="11.6640625" style="1" customWidth="1"/>
    <col min="8967" max="9216" width="11.33203125" style="1"/>
    <col min="9217" max="9217" width="28.33203125" style="1" customWidth="1"/>
    <col min="9218" max="9222" width="11.6640625" style="1" customWidth="1"/>
    <col min="9223" max="9472" width="11.33203125" style="1"/>
    <col min="9473" max="9473" width="28.33203125" style="1" customWidth="1"/>
    <col min="9474" max="9478" width="11.6640625" style="1" customWidth="1"/>
    <col min="9479" max="9728" width="11.33203125" style="1"/>
    <col min="9729" max="9729" width="28.33203125" style="1" customWidth="1"/>
    <col min="9730" max="9734" width="11.6640625" style="1" customWidth="1"/>
    <col min="9735" max="9984" width="11.33203125" style="1"/>
    <col min="9985" max="9985" width="28.33203125" style="1" customWidth="1"/>
    <col min="9986" max="9990" width="11.6640625" style="1" customWidth="1"/>
    <col min="9991" max="10240" width="11.33203125" style="1"/>
    <col min="10241" max="10241" width="28.33203125" style="1" customWidth="1"/>
    <col min="10242" max="10246" width="11.6640625" style="1" customWidth="1"/>
    <col min="10247" max="10496" width="11.33203125" style="1"/>
    <col min="10497" max="10497" width="28.33203125" style="1" customWidth="1"/>
    <col min="10498" max="10502" width="11.6640625" style="1" customWidth="1"/>
    <col min="10503" max="10752" width="11.33203125" style="1"/>
    <col min="10753" max="10753" width="28.33203125" style="1" customWidth="1"/>
    <col min="10754" max="10758" width="11.6640625" style="1" customWidth="1"/>
    <col min="10759" max="11008" width="11.33203125" style="1"/>
    <col min="11009" max="11009" width="28.33203125" style="1" customWidth="1"/>
    <col min="11010" max="11014" width="11.6640625" style="1" customWidth="1"/>
    <col min="11015" max="11264" width="11.33203125" style="1"/>
    <col min="11265" max="11265" width="28.33203125" style="1" customWidth="1"/>
    <col min="11266" max="11270" width="11.6640625" style="1" customWidth="1"/>
    <col min="11271" max="11520" width="11.33203125" style="1"/>
    <col min="11521" max="11521" width="28.33203125" style="1" customWidth="1"/>
    <col min="11522" max="11526" width="11.6640625" style="1" customWidth="1"/>
    <col min="11527" max="11776" width="11.33203125" style="1"/>
    <col min="11777" max="11777" width="28.33203125" style="1" customWidth="1"/>
    <col min="11778" max="11782" width="11.6640625" style="1" customWidth="1"/>
    <col min="11783" max="12032" width="11.33203125" style="1"/>
    <col min="12033" max="12033" width="28.33203125" style="1" customWidth="1"/>
    <col min="12034" max="12038" width="11.6640625" style="1" customWidth="1"/>
    <col min="12039" max="12288" width="11.33203125" style="1"/>
    <col min="12289" max="12289" width="28.33203125" style="1" customWidth="1"/>
    <col min="12290" max="12294" width="11.6640625" style="1" customWidth="1"/>
    <col min="12295" max="12544" width="11.33203125" style="1"/>
    <col min="12545" max="12545" width="28.33203125" style="1" customWidth="1"/>
    <col min="12546" max="12550" width="11.6640625" style="1" customWidth="1"/>
    <col min="12551" max="12800" width="11.33203125" style="1"/>
    <col min="12801" max="12801" width="28.33203125" style="1" customWidth="1"/>
    <col min="12802" max="12806" width="11.6640625" style="1" customWidth="1"/>
    <col min="12807" max="13056" width="11.33203125" style="1"/>
    <col min="13057" max="13057" width="28.33203125" style="1" customWidth="1"/>
    <col min="13058" max="13062" width="11.6640625" style="1" customWidth="1"/>
    <col min="13063" max="13312" width="11.33203125" style="1"/>
    <col min="13313" max="13313" width="28.33203125" style="1" customWidth="1"/>
    <col min="13314" max="13318" width="11.6640625" style="1" customWidth="1"/>
    <col min="13319" max="13568" width="11.33203125" style="1"/>
    <col min="13569" max="13569" width="28.33203125" style="1" customWidth="1"/>
    <col min="13570" max="13574" width="11.6640625" style="1" customWidth="1"/>
    <col min="13575" max="13824" width="11.33203125" style="1"/>
    <col min="13825" max="13825" width="28.33203125" style="1" customWidth="1"/>
    <col min="13826" max="13830" width="11.6640625" style="1" customWidth="1"/>
    <col min="13831" max="14080" width="11.33203125" style="1"/>
    <col min="14081" max="14081" width="28.33203125" style="1" customWidth="1"/>
    <col min="14082" max="14086" width="11.6640625" style="1" customWidth="1"/>
    <col min="14087" max="14336" width="11.33203125" style="1"/>
    <col min="14337" max="14337" width="28.33203125" style="1" customWidth="1"/>
    <col min="14338" max="14342" width="11.6640625" style="1" customWidth="1"/>
    <col min="14343" max="14592" width="11.33203125" style="1"/>
    <col min="14593" max="14593" width="28.33203125" style="1" customWidth="1"/>
    <col min="14594" max="14598" width="11.6640625" style="1" customWidth="1"/>
    <col min="14599" max="14848" width="11.33203125" style="1"/>
    <col min="14849" max="14849" width="28.33203125" style="1" customWidth="1"/>
    <col min="14850" max="14854" width="11.6640625" style="1" customWidth="1"/>
    <col min="14855" max="15104" width="11.33203125" style="1"/>
    <col min="15105" max="15105" width="28.33203125" style="1" customWidth="1"/>
    <col min="15106" max="15110" width="11.6640625" style="1" customWidth="1"/>
    <col min="15111" max="15360" width="11.33203125" style="1"/>
    <col min="15361" max="15361" width="28.33203125" style="1" customWidth="1"/>
    <col min="15362" max="15366" width="11.6640625" style="1" customWidth="1"/>
    <col min="15367" max="15616" width="11.33203125" style="1"/>
    <col min="15617" max="15617" width="28.33203125" style="1" customWidth="1"/>
    <col min="15618" max="15622" width="11.6640625" style="1" customWidth="1"/>
    <col min="15623" max="15872" width="11.33203125" style="1"/>
    <col min="15873" max="15873" width="28.33203125" style="1" customWidth="1"/>
    <col min="15874" max="15878" width="11.6640625" style="1" customWidth="1"/>
    <col min="15879" max="16128" width="11.33203125" style="1"/>
    <col min="16129" max="16129" width="28.33203125" style="1" customWidth="1"/>
    <col min="16130" max="16134" width="11.6640625" style="1" customWidth="1"/>
    <col min="16135" max="16384" width="11.33203125" style="1"/>
  </cols>
  <sheetData>
    <row r="1" spans="1:6">
      <c r="A1" s="75" t="s">
        <v>344</v>
      </c>
      <c r="B1" s="76"/>
      <c r="C1" s="38"/>
      <c r="D1" s="37"/>
      <c r="E1" s="4"/>
      <c r="F1" s="4"/>
    </row>
    <row r="2" spans="1:6" ht="15.75" customHeight="1">
      <c r="A2" s="77"/>
      <c r="B2" s="4"/>
      <c r="C2" s="4"/>
      <c r="D2" s="4"/>
    </row>
    <row r="3" spans="1:6">
      <c r="A3" s="447" t="s">
        <v>345</v>
      </c>
      <c r="B3" s="447"/>
      <c r="C3" s="447"/>
      <c r="D3" s="447"/>
      <c r="E3" s="447"/>
      <c r="F3" s="447"/>
    </row>
    <row r="4" spans="1:6">
      <c r="A4" s="447" t="s">
        <v>1051</v>
      </c>
      <c r="B4" s="447"/>
      <c r="C4" s="447"/>
      <c r="D4" s="447"/>
      <c r="E4" s="447"/>
      <c r="F4" s="447"/>
    </row>
    <row r="5" spans="1:6" ht="15.75" customHeight="1">
      <c r="A5" s="78"/>
      <c r="B5" s="56"/>
      <c r="C5" s="79"/>
      <c r="D5" s="56"/>
      <c r="E5" s="5"/>
      <c r="F5" s="5"/>
    </row>
    <row r="6" spans="1:6" ht="15.75" customHeight="1">
      <c r="A6" s="67"/>
      <c r="B6" s="453" t="s">
        <v>1040</v>
      </c>
      <c r="C6" s="453"/>
      <c r="D6" s="453"/>
      <c r="E6" s="453"/>
      <c r="F6" s="453"/>
    </row>
    <row r="7" spans="1:6" ht="15.75" customHeight="1">
      <c r="A7" s="80" t="s">
        <v>222</v>
      </c>
      <c r="B7" s="449">
        <v>2012</v>
      </c>
      <c r="C7" s="449">
        <v>2013</v>
      </c>
      <c r="D7" s="449">
        <v>2014</v>
      </c>
      <c r="E7" s="445">
        <v>2015</v>
      </c>
      <c r="F7" s="445">
        <v>2016</v>
      </c>
    </row>
    <row r="8" spans="1:6" ht="15.75" customHeight="1">
      <c r="A8" s="68"/>
      <c r="B8" s="450"/>
      <c r="C8" s="450"/>
      <c r="D8" s="450"/>
      <c r="E8" s="445"/>
      <c r="F8" s="445"/>
    </row>
    <row r="9" spans="1:6" ht="15.75" customHeight="1">
      <c r="A9" s="81"/>
      <c r="B9" s="82"/>
      <c r="C9" s="43"/>
      <c r="D9" s="60"/>
      <c r="E9" s="60"/>
      <c r="F9" s="420"/>
    </row>
    <row r="10" spans="1:6" ht="15.75" customHeight="1">
      <c r="A10" s="83" t="s">
        <v>221</v>
      </c>
      <c r="B10" s="63">
        <f>SUM(B12,B18,B20,B22,B24,B26,B28,B30,B32,B34,B36,B38,B40)</f>
        <v>537906</v>
      </c>
      <c r="C10" s="63">
        <f>SUM(C12,C18,C20,C22,C24,C26,C28,C30,C32,C34,C36,C38,C40)</f>
        <v>559471</v>
      </c>
      <c r="D10" s="63">
        <f>SUM(D12,D18,D20,D22,D24,D26,D28,D30,D32,D34,D36,D38,D40)</f>
        <v>610367</v>
      </c>
      <c r="E10" s="63">
        <f>SUM(E12,E18,E20,E22,E24,E26,E28,E30,E32,E34,E36,E38,E40)</f>
        <v>605022</v>
      </c>
      <c r="F10" s="63">
        <f>SUM(F12,F18,F20,F22,F24,F26,F28,F30,F32,F34,F36,F38,F40)</f>
        <v>612363</v>
      </c>
    </row>
    <row r="11" spans="1:6" ht="15.75" customHeight="1">
      <c r="A11" s="11"/>
      <c r="B11" s="65"/>
      <c r="C11" s="65"/>
      <c r="D11" s="65"/>
      <c r="E11" s="65"/>
      <c r="F11" s="420"/>
    </row>
    <row r="12" spans="1:6" ht="15.75" customHeight="1">
      <c r="A12" s="11" t="s">
        <v>333</v>
      </c>
      <c r="B12" s="66">
        <f>SUM(B14,B16)</f>
        <v>76697</v>
      </c>
      <c r="C12" s="66">
        <f>SUM(C14,C16)</f>
        <v>76006</v>
      </c>
      <c r="D12" s="66">
        <f>SUM(D14,D16)</f>
        <v>101203</v>
      </c>
      <c r="E12" s="419">
        <v>93678</v>
      </c>
      <c r="F12" s="419">
        <f>SUM(F14,F16)</f>
        <v>92977</v>
      </c>
    </row>
    <row r="13" spans="1:6" ht="15.75" customHeight="1">
      <c r="A13" s="11"/>
      <c r="B13" s="65"/>
      <c r="C13" s="65"/>
      <c r="D13" s="65"/>
      <c r="E13" s="420"/>
      <c r="F13" s="420"/>
    </row>
    <row r="14" spans="1:6" ht="15.75" customHeight="1">
      <c r="A14" s="67" t="s">
        <v>334</v>
      </c>
      <c r="B14" s="65">
        <v>38000</v>
      </c>
      <c r="C14" s="65">
        <v>21040</v>
      </c>
      <c r="D14" s="427">
        <v>23531</v>
      </c>
      <c r="E14" s="422">
        <v>19355</v>
      </c>
      <c r="F14" s="420">
        <v>18998</v>
      </c>
    </row>
    <row r="15" spans="1:6" ht="15.75" customHeight="1">
      <c r="A15" s="67"/>
      <c r="B15" s="65"/>
      <c r="C15" s="65"/>
      <c r="D15" s="65"/>
      <c r="E15" s="420"/>
      <c r="F15" s="420"/>
    </row>
    <row r="16" spans="1:6" ht="15.75" customHeight="1">
      <c r="A16" s="67" t="s">
        <v>335</v>
      </c>
      <c r="B16" s="65">
        <v>38697</v>
      </c>
      <c r="C16" s="65">
        <v>54966</v>
      </c>
      <c r="D16" s="427">
        <v>77672</v>
      </c>
      <c r="E16" s="422">
        <v>74323</v>
      </c>
      <c r="F16" s="420">
        <v>73979</v>
      </c>
    </row>
    <row r="17" spans="1:6" ht="15.75" customHeight="1">
      <c r="A17" s="67"/>
      <c r="B17" s="65"/>
      <c r="C17" s="65"/>
      <c r="D17" s="65"/>
      <c r="E17" s="420"/>
      <c r="F17" s="420"/>
    </row>
    <row r="18" spans="1:6" ht="15.75" customHeight="1">
      <c r="A18" s="11" t="s">
        <v>226</v>
      </c>
      <c r="B18" s="65">
        <v>3208</v>
      </c>
      <c r="C18" s="65">
        <v>3277</v>
      </c>
      <c r="D18" s="427">
        <v>3535</v>
      </c>
      <c r="E18" s="422">
        <v>3835</v>
      </c>
      <c r="F18" s="420">
        <v>3237</v>
      </c>
    </row>
    <row r="19" spans="1:6" ht="15.75" customHeight="1">
      <c r="A19" s="11"/>
      <c r="B19" s="65"/>
      <c r="C19" s="65"/>
      <c r="D19" s="65"/>
      <c r="E19" s="420"/>
      <c r="F19" s="420"/>
    </row>
    <row r="20" spans="1:6" ht="15.75" customHeight="1">
      <c r="A20" s="67" t="s">
        <v>336</v>
      </c>
      <c r="B20" s="65">
        <v>15121</v>
      </c>
      <c r="C20" s="65">
        <v>10582</v>
      </c>
      <c r="D20" s="427">
        <v>12262</v>
      </c>
      <c r="E20" s="422">
        <v>15113</v>
      </c>
      <c r="F20" s="420">
        <v>17662</v>
      </c>
    </row>
    <row r="21" spans="1:6" ht="15.75" customHeight="1">
      <c r="A21" s="11"/>
      <c r="B21" s="65"/>
      <c r="C21" s="65"/>
      <c r="D21" s="65"/>
      <c r="E21" s="420"/>
      <c r="F21" s="420"/>
    </row>
    <row r="22" spans="1:6" ht="15.75" customHeight="1">
      <c r="A22" s="11" t="s">
        <v>228</v>
      </c>
      <c r="B22" s="65">
        <v>26320</v>
      </c>
      <c r="C22" s="65">
        <v>26645</v>
      </c>
      <c r="D22" s="427">
        <v>26916</v>
      </c>
      <c r="E22" s="422">
        <v>28547</v>
      </c>
      <c r="F22" s="420">
        <v>29705</v>
      </c>
    </row>
    <row r="23" spans="1:6" ht="15.75" customHeight="1">
      <c r="A23" s="11"/>
      <c r="B23" s="65"/>
      <c r="C23" s="65"/>
      <c r="D23" s="65"/>
      <c r="E23" s="420"/>
      <c r="F23" s="420"/>
    </row>
    <row r="24" spans="1:6" ht="15.75" customHeight="1">
      <c r="A24" s="67" t="s">
        <v>229</v>
      </c>
      <c r="B24" s="65">
        <v>18118</v>
      </c>
      <c r="C24" s="65">
        <v>20559</v>
      </c>
      <c r="D24" s="427">
        <v>25349</v>
      </c>
      <c r="E24" s="422">
        <v>29025</v>
      </c>
      <c r="F24" s="420">
        <v>33752</v>
      </c>
    </row>
    <row r="25" spans="1:6" ht="15.75" customHeight="1">
      <c r="A25" s="67"/>
      <c r="B25" s="65"/>
      <c r="C25" s="65"/>
      <c r="D25" s="65"/>
      <c r="E25" s="420"/>
      <c r="F25" s="420"/>
    </row>
    <row r="26" spans="1:6" ht="15.75" customHeight="1">
      <c r="A26" s="67" t="s">
        <v>230</v>
      </c>
      <c r="B26" s="65">
        <v>41182</v>
      </c>
      <c r="C26" s="65">
        <v>59452</v>
      </c>
      <c r="D26" s="427">
        <v>57291</v>
      </c>
      <c r="E26" s="422">
        <v>62125</v>
      </c>
      <c r="F26" s="420">
        <v>64509</v>
      </c>
    </row>
    <row r="27" spans="1:6" ht="15.75" customHeight="1">
      <c r="A27" s="15"/>
      <c r="B27" s="65"/>
      <c r="C27" s="65"/>
      <c r="D27" s="65"/>
      <c r="E27" s="420"/>
      <c r="F27" s="420"/>
    </row>
    <row r="28" spans="1:6" ht="15.75" customHeight="1">
      <c r="A28" s="67" t="s">
        <v>231</v>
      </c>
      <c r="B28" s="65">
        <v>32820</v>
      </c>
      <c r="C28" s="65">
        <v>35052</v>
      </c>
      <c r="D28" s="427">
        <v>37259</v>
      </c>
      <c r="E28" s="422">
        <v>40935</v>
      </c>
      <c r="F28" s="420">
        <v>41676</v>
      </c>
    </row>
    <row r="29" spans="1:6" ht="15.75" customHeight="1">
      <c r="A29" s="15"/>
      <c r="B29" s="65"/>
      <c r="C29" s="65"/>
      <c r="D29" s="65"/>
      <c r="E29" s="420"/>
      <c r="F29" s="420"/>
    </row>
    <row r="30" spans="1:6" ht="15.75" customHeight="1">
      <c r="A30" s="67" t="s">
        <v>232</v>
      </c>
      <c r="B30" s="65">
        <v>185043</v>
      </c>
      <c r="C30" s="65">
        <v>186542</v>
      </c>
      <c r="D30" s="427">
        <v>199879</v>
      </c>
      <c r="E30" s="422">
        <v>180453</v>
      </c>
      <c r="F30" s="420">
        <v>170437</v>
      </c>
    </row>
    <row r="31" spans="1:6" ht="15.75" customHeight="1">
      <c r="A31" s="67"/>
      <c r="B31" s="65"/>
      <c r="C31" s="65"/>
      <c r="D31" s="65"/>
      <c r="E31" s="422"/>
      <c r="F31" s="420"/>
    </row>
    <row r="32" spans="1:6" ht="15.75" customHeight="1">
      <c r="A32" s="67" t="s">
        <v>233</v>
      </c>
      <c r="B32" s="65">
        <v>12582</v>
      </c>
      <c r="C32" s="65">
        <v>12299</v>
      </c>
      <c r="D32" s="427">
        <v>11429</v>
      </c>
      <c r="E32" s="422">
        <v>12160</v>
      </c>
      <c r="F32" s="420">
        <v>11881</v>
      </c>
    </row>
    <row r="33" spans="1:6" ht="15.75" customHeight="1">
      <c r="A33" s="67"/>
      <c r="B33" s="65"/>
      <c r="C33" s="65"/>
      <c r="D33" s="65"/>
      <c r="E33" s="420"/>
      <c r="F33" s="420"/>
    </row>
    <row r="34" spans="1:6" ht="15.75" customHeight="1">
      <c r="A34" s="67" t="s">
        <v>337</v>
      </c>
      <c r="B34" s="65">
        <v>51691</v>
      </c>
      <c r="C34" s="65">
        <v>52089</v>
      </c>
      <c r="D34" s="427">
        <v>46590</v>
      </c>
      <c r="E34" s="422">
        <v>44413</v>
      </c>
      <c r="F34" s="420">
        <v>44001</v>
      </c>
    </row>
    <row r="35" spans="1:6" ht="15.75" customHeight="1">
      <c r="A35" s="67"/>
      <c r="B35" s="65"/>
      <c r="C35" s="65"/>
      <c r="D35" s="65"/>
      <c r="E35" s="420"/>
      <c r="F35" s="420"/>
    </row>
    <row r="36" spans="1:6" ht="15.75" customHeight="1">
      <c r="A36" s="67" t="s">
        <v>235</v>
      </c>
      <c r="B36" s="65">
        <v>57336</v>
      </c>
      <c r="C36" s="65">
        <v>59989</v>
      </c>
      <c r="D36" s="427">
        <v>68175</v>
      </c>
      <c r="E36" s="422">
        <v>75235</v>
      </c>
      <c r="F36" s="420">
        <f>'c-2'!O8</f>
        <v>83428</v>
      </c>
    </row>
    <row r="37" spans="1:6" ht="15.75" customHeight="1">
      <c r="A37" s="67"/>
      <c r="B37" s="65"/>
      <c r="C37" s="65"/>
      <c r="D37" s="65"/>
      <c r="E37" s="420"/>
      <c r="F37" s="420"/>
    </row>
    <row r="38" spans="1:6" ht="15.75" customHeight="1">
      <c r="A38" s="67" t="s">
        <v>338</v>
      </c>
      <c r="B38" s="65">
        <v>16820</v>
      </c>
      <c r="C38" s="65">
        <v>16053</v>
      </c>
      <c r="D38" s="427">
        <v>19438</v>
      </c>
      <c r="E38" s="422">
        <v>18541</v>
      </c>
      <c r="F38" s="420">
        <f>'c-2'!P8</f>
        <v>17790</v>
      </c>
    </row>
    <row r="39" spans="1:6" ht="15.75" customHeight="1">
      <c r="A39" s="67"/>
      <c r="B39" s="65"/>
      <c r="C39" s="65"/>
      <c r="D39" s="65"/>
      <c r="E39" s="420"/>
      <c r="F39" s="420"/>
    </row>
    <row r="40" spans="1:6" ht="15.75" customHeight="1">
      <c r="A40" s="67" t="s">
        <v>237</v>
      </c>
      <c r="B40" s="65">
        <v>968</v>
      </c>
      <c r="C40" s="65">
        <v>926</v>
      </c>
      <c r="D40" s="427">
        <v>1041</v>
      </c>
      <c r="E40" s="422">
        <v>962</v>
      </c>
      <c r="F40" s="420">
        <f>'c-2'!Q8</f>
        <v>1308</v>
      </c>
    </row>
    <row r="41" spans="1:6" ht="15.75" customHeight="1">
      <c r="A41" s="68"/>
      <c r="B41" s="69"/>
      <c r="C41" s="84"/>
      <c r="D41" s="71"/>
      <c r="E41" s="71"/>
      <c r="F41" s="420"/>
    </row>
    <row r="42" spans="1:6">
      <c r="A42" s="85" t="s">
        <v>346</v>
      </c>
      <c r="B42" s="85"/>
    </row>
    <row r="43" spans="1:6">
      <c r="A43" s="85" t="s">
        <v>347</v>
      </c>
      <c r="B43" s="85"/>
    </row>
    <row r="44" spans="1:6">
      <c r="A44" s="85" t="s">
        <v>348</v>
      </c>
      <c r="B44" s="85"/>
    </row>
    <row r="45" spans="1:6">
      <c r="A45" s="85" t="s">
        <v>349</v>
      </c>
      <c r="B45" s="85"/>
    </row>
    <row r="46" spans="1:6">
      <c r="A46" s="85" t="s">
        <v>350</v>
      </c>
    </row>
    <row r="47" spans="1:6">
      <c r="A47" s="85" t="s">
        <v>351</v>
      </c>
    </row>
    <row r="48" spans="1:6">
      <c r="A48" s="85" t="s">
        <v>326</v>
      </c>
    </row>
    <row r="49" spans="1:1">
      <c r="A49" s="85"/>
    </row>
    <row r="50" spans="1:1" ht="15.75" customHeight="1">
      <c r="A50" s="39" t="s">
        <v>1072</v>
      </c>
    </row>
  </sheetData>
  <sheetProtection selectLockedCells="1" selectUnlockedCells="1"/>
  <mergeCells count="8">
    <mergeCell ref="A3:F3"/>
    <mergeCell ref="A4:F4"/>
    <mergeCell ref="B6:F6"/>
    <mergeCell ref="B7:B8"/>
    <mergeCell ref="C7:C8"/>
    <mergeCell ref="D7:D8"/>
    <mergeCell ref="E7:E8"/>
    <mergeCell ref="F7:F8"/>
  </mergeCells>
  <printOptions horizontalCentered="1" verticalCentered="1"/>
  <pageMargins left="0.78749999999999998" right="0.78749999999999998" top="0.98402777777777772" bottom="0.98402777777777772" header="0.51180555555555551" footer="0.51180555555555551"/>
  <pageSetup scale="75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7"/>
  <sheetViews>
    <sheetView workbookViewId="0">
      <selection activeCell="A3" sqref="A3:F5"/>
    </sheetView>
  </sheetViews>
  <sheetFormatPr baseColWidth="10" defaultColWidth="11.33203125" defaultRowHeight="15.75" customHeight="1"/>
  <cols>
    <col min="1" max="1" width="32.5546875" style="1" customWidth="1"/>
    <col min="2" max="3" width="11.6640625" style="1" customWidth="1"/>
    <col min="4" max="4" width="11.6640625" style="35" customWidth="1"/>
    <col min="5" max="6" width="11.6640625" style="1" customWidth="1"/>
    <col min="7" max="7" width="11.33203125" style="35" customWidth="1"/>
    <col min="8" max="8" width="14.44140625" style="1" bestFit="1" customWidth="1"/>
    <col min="9" max="256" width="11.33203125" style="1"/>
    <col min="257" max="257" width="32.5546875" style="1" customWidth="1"/>
    <col min="258" max="262" width="11.6640625" style="1" customWidth="1"/>
    <col min="263" max="263" width="11.33203125" style="1" customWidth="1"/>
    <col min="264" max="264" width="14.44140625" style="1" bestFit="1" customWidth="1"/>
    <col min="265" max="512" width="11.33203125" style="1"/>
    <col min="513" max="513" width="32.5546875" style="1" customWidth="1"/>
    <col min="514" max="518" width="11.6640625" style="1" customWidth="1"/>
    <col min="519" max="519" width="11.33203125" style="1" customWidth="1"/>
    <col min="520" max="520" width="14.44140625" style="1" bestFit="1" customWidth="1"/>
    <col min="521" max="768" width="11.33203125" style="1"/>
    <col min="769" max="769" width="32.5546875" style="1" customWidth="1"/>
    <col min="770" max="774" width="11.6640625" style="1" customWidth="1"/>
    <col min="775" max="775" width="11.33203125" style="1" customWidth="1"/>
    <col min="776" max="776" width="14.44140625" style="1" bestFit="1" customWidth="1"/>
    <col min="777" max="1024" width="11.33203125" style="1"/>
    <col min="1025" max="1025" width="32.5546875" style="1" customWidth="1"/>
    <col min="1026" max="1030" width="11.6640625" style="1" customWidth="1"/>
    <col min="1031" max="1031" width="11.33203125" style="1" customWidth="1"/>
    <col min="1032" max="1032" width="14.44140625" style="1" bestFit="1" customWidth="1"/>
    <col min="1033" max="1280" width="11.33203125" style="1"/>
    <col min="1281" max="1281" width="32.5546875" style="1" customWidth="1"/>
    <col min="1282" max="1286" width="11.6640625" style="1" customWidth="1"/>
    <col min="1287" max="1287" width="11.33203125" style="1" customWidth="1"/>
    <col min="1288" max="1288" width="14.44140625" style="1" bestFit="1" customWidth="1"/>
    <col min="1289" max="1536" width="11.33203125" style="1"/>
    <col min="1537" max="1537" width="32.5546875" style="1" customWidth="1"/>
    <col min="1538" max="1542" width="11.6640625" style="1" customWidth="1"/>
    <col min="1543" max="1543" width="11.33203125" style="1" customWidth="1"/>
    <col min="1544" max="1544" width="14.44140625" style="1" bestFit="1" customWidth="1"/>
    <col min="1545" max="1792" width="11.33203125" style="1"/>
    <col min="1793" max="1793" width="32.5546875" style="1" customWidth="1"/>
    <col min="1794" max="1798" width="11.6640625" style="1" customWidth="1"/>
    <col min="1799" max="1799" width="11.33203125" style="1" customWidth="1"/>
    <col min="1800" max="1800" width="14.44140625" style="1" bestFit="1" customWidth="1"/>
    <col min="1801" max="2048" width="11.33203125" style="1"/>
    <col min="2049" max="2049" width="32.5546875" style="1" customWidth="1"/>
    <col min="2050" max="2054" width="11.6640625" style="1" customWidth="1"/>
    <col min="2055" max="2055" width="11.33203125" style="1" customWidth="1"/>
    <col min="2056" max="2056" width="14.44140625" style="1" bestFit="1" customWidth="1"/>
    <col min="2057" max="2304" width="11.33203125" style="1"/>
    <col min="2305" max="2305" width="32.5546875" style="1" customWidth="1"/>
    <col min="2306" max="2310" width="11.6640625" style="1" customWidth="1"/>
    <col min="2311" max="2311" width="11.33203125" style="1" customWidth="1"/>
    <col min="2312" max="2312" width="14.44140625" style="1" bestFit="1" customWidth="1"/>
    <col min="2313" max="2560" width="11.33203125" style="1"/>
    <col min="2561" max="2561" width="32.5546875" style="1" customWidth="1"/>
    <col min="2562" max="2566" width="11.6640625" style="1" customWidth="1"/>
    <col min="2567" max="2567" width="11.33203125" style="1" customWidth="1"/>
    <col min="2568" max="2568" width="14.44140625" style="1" bestFit="1" customWidth="1"/>
    <col min="2569" max="2816" width="11.33203125" style="1"/>
    <col min="2817" max="2817" width="32.5546875" style="1" customWidth="1"/>
    <col min="2818" max="2822" width="11.6640625" style="1" customWidth="1"/>
    <col min="2823" max="2823" width="11.33203125" style="1" customWidth="1"/>
    <col min="2824" max="2824" width="14.44140625" style="1" bestFit="1" customWidth="1"/>
    <col min="2825" max="3072" width="11.33203125" style="1"/>
    <col min="3073" max="3073" width="32.5546875" style="1" customWidth="1"/>
    <col min="3074" max="3078" width="11.6640625" style="1" customWidth="1"/>
    <col min="3079" max="3079" width="11.33203125" style="1" customWidth="1"/>
    <col min="3080" max="3080" width="14.44140625" style="1" bestFit="1" customWidth="1"/>
    <col min="3081" max="3328" width="11.33203125" style="1"/>
    <col min="3329" max="3329" width="32.5546875" style="1" customWidth="1"/>
    <col min="3330" max="3334" width="11.6640625" style="1" customWidth="1"/>
    <col min="3335" max="3335" width="11.33203125" style="1" customWidth="1"/>
    <col min="3336" max="3336" width="14.44140625" style="1" bestFit="1" customWidth="1"/>
    <col min="3337" max="3584" width="11.33203125" style="1"/>
    <col min="3585" max="3585" width="32.5546875" style="1" customWidth="1"/>
    <col min="3586" max="3590" width="11.6640625" style="1" customWidth="1"/>
    <col min="3591" max="3591" width="11.33203125" style="1" customWidth="1"/>
    <col min="3592" max="3592" width="14.44140625" style="1" bestFit="1" customWidth="1"/>
    <col min="3593" max="3840" width="11.33203125" style="1"/>
    <col min="3841" max="3841" width="32.5546875" style="1" customWidth="1"/>
    <col min="3842" max="3846" width="11.6640625" style="1" customWidth="1"/>
    <col min="3847" max="3847" width="11.33203125" style="1" customWidth="1"/>
    <col min="3848" max="3848" width="14.44140625" style="1" bestFit="1" customWidth="1"/>
    <col min="3849" max="4096" width="11.33203125" style="1"/>
    <col min="4097" max="4097" width="32.5546875" style="1" customWidth="1"/>
    <col min="4098" max="4102" width="11.6640625" style="1" customWidth="1"/>
    <col min="4103" max="4103" width="11.33203125" style="1" customWidth="1"/>
    <col min="4104" max="4104" width="14.44140625" style="1" bestFit="1" customWidth="1"/>
    <col min="4105" max="4352" width="11.33203125" style="1"/>
    <col min="4353" max="4353" width="32.5546875" style="1" customWidth="1"/>
    <col min="4354" max="4358" width="11.6640625" style="1" customWidth="1"/>
    <col min="4359" max="4359" width="11.33203125" style="1" customWidth="1"/>
    <col min="4360" max="4360" width="14.44140625" style="1" bestFit="1" customWidth="1"/>
    <col min="4361" max="4608" width="11.33203125" style="1"/>
    <col min="4609" max="4609" width="32.5546875" style="1" customWidth="1"/>
    <col min="4610" max="4614" width="11.6640625" style="1" customWidth="1"/>
    <col min="4615" max="4615" width="11.33203125" style="1" customWidth="1"/>
    <col min="4616" max="4616" width="14.44140625" style="1" bestFit="1" customWidth="1"/>
    <col min="4617" max="4864" width="11.33203125" style="1"/>
    <col min="4865" max="4865" width="32.5546875" style="1" customWidth="1"/>
    <col min="4866" max="4870" width="11.6640625" style="1" customWidth="1"/>
    <col min="4871" max="4871" width="11.33203125" style="1" customWidth="1"/>
    <col min="4872" max="4872" width="14.44140625" style="1" bestFit="1" customWidth="1"/>
    <col min="4873" max="5120" width="11.33203125" style="1"/>
    <col min="5121" max="5121" width="32.5546875" style="1" customWidth="1"/>
    <col min="5122" max="5126" width="11.6640625" style="1" customWidth="1"/>
    <col min="5127" max="5127" width="11.33203125" style="1" customWidth="1"/>
    <col min="5128" max="5128" width="14.44140625" style="1" bestFit="1" customWidth="1"/>
    <col min="5129" max="5376" width="11.33203125" style="1"/>
    <col min="5377" max="5377" width="32.5546875" style="1" customWidth="1"/>
    <col min="5378" max="5382" width="11.6640625" style="1" customWidth="1"/>
    <col min="5383" max="5383" width="11.33203125" style="1" customWidth="1"/>
    <col min="5384" max="5384" width="14.44140625" style="1" bestFit="1" customWidth="1"/>
    <col min="5385" max="5632" width="11.33203125" style="1"/>
    <col min="5633" max="5633" width="32.5546875" style="1" customWidth="1"/>
    <col min="5634" max="5638" width="11.6640625" style="1" customWidth="1"/>
    <col min="5639" max="5639" width="11.33203125" style="1" customWidth="1"/>
    <col min="5640" max="5640" width="14.44140625" style="1" bestFit="1" customWidth="1"/>
    <col min="5641" max="5888" width="11.33203125" style="1"/>
    <col min="5889" max="5889" width="32.5546875" style="1" customWidth="1"/>
    <col min="5890" max="5894" width="11.6640625" style="1" customWidth="1"/>
    <col min="5895" max="5895" width="11.33203125" style="1" customWidth="1"/>
    <col min="5896" max="5896" width="14.44140625" style="1" bestFit="1" customWidth="1"/>
    <col min="5897" max="6144" width="11.33203125" style="1"/>
    <col min="6145" max="6145" width="32.5546875" style="1" customWidth="1"/>
    <col min="6146" max="6150" width="11.6640625" style="1" customWidth="1"/>
    <col min="6151" max="6151" width="11.33203125" style="1" customWidth="1"/>
    <col min="6152" max="6152" width="14.44140625" style="1" bestFit="1" customWidth="1"/>
    <col min="6153" max="6400" width="11.33203125" style="1"/>
    <col min="6401" max="6401" width="32.5546875" style="1" customWidth="1"/>
    <col min="6402" max="6406" width="11.6640625" style="1" customWidth="1"/>
    <col min="6407" max="6407" width="11.33203125" style="1" customWidth="1"/>
    <col min="6408" max="6408" width="14.44140625" style="1" bestFit="1" customWidth="1"/>
    <col min="6409" max="6656" width="11.33203125" style="1"/>
    <col min="6657" max="6657" width="32.5546875" style="1" customWidth="1"/>
    <col min="6658" max="6662" width="11.6640625" style="1" customWidth="1"/>
    <col min="6663" max="6663" width="11.33203125" style="1" customWidth="1"/>
    <col min="6664" max="6664" width="14.44140625" style="1" bestFit="1" customWidth="1"/>
    <col min="6665" max="6912" width="11.33203125" style="1"/>
    <col min="6913" max="6913" width="32.5546875" style="1" customWidth="1"/>
    <col min="6914" max="6918" width="11.6640625" style="1" customWidth="1"/>
    <col min="6919" max="6919" width="11.33203125" style="1" customWidth="1"/>
    <col min="6920" max="6920" width="14.44140625" style="1" bestFit="1" customWidth="1"/>
    <col min="6921" max="7168" width="11.33203125" style="1"/>
    <col min="7169" max="7169" width="32.5546875" style="1" customWidth="1"/>
    <col min="7170" max="7174" width="11.6640625" style="1" customWidth="1"/>
    <col min="7175" max="7175" width="11.33203125" style="1" customWidth="1"/>
    <col min="7176" max="7176" width="14.44140625" style="1" bestFit="1" customWidth="1"/>
    <col min="7177" max="7424" width="11.33203125" style="1"/>
    <col min="7425" max="7425" width="32.5546875" style="1" customWidth="1"/>
    <col min="7426" max="7430" width="11.6640625" style="1" customWidth="1"/>
    <col min="7431" max="7431" width="11.33203125" style="1" customWidth="1"/>
    <col min="7432" max="7432" width="14.44140625" style="1" bestFit="1" customWidth="1"/>
    <col min="7433" max="7680" width="11.33203125" style="1"/>
    <col min="7681" max="7681" width="32.5546875" style="1" customWidth="1"/>
    <col min="7682" max="7686" width="11.6640625" style="1" customWidth="1"/>
    <col min="7687" max="7687" width="11.33203125" style="1" customWidth="1"/>
    <col min="7688" max="7688" width="14.44140625" style="1" bestFit="1" customWidth="1"/>
    <col min="7689" max="7936" width="11.33203125" style="1"/>
    <col min="7937" max="7937" width="32.5546875" style="1" customWidth="1"/>
    <col min="7938" max="7942" width="11.6640625" style="1" customWidth="1"/>
    <col min="7943" max="7943" width="11.33203125" style="1" customWidth="1"/>
    <col min="7944" max="7944" width="14.44140625" style="1" bestFit="1" customWidth="1"/>
    <col min="7945" max="8192" width="11.33203125" style="1"/>
    <col min="8193" max="8193" width="32.5546875" style="1" customWidth="1"/>
    <col min="8194" max="8198" width="11.6640625" style="1" customWidth="1"/>
    <col min="8199" max="8199" width="11.33203125" style="1" customWidth="1"/>
    <col min="8200" max="8200" width="14.44140625" style="1" bestFit="1" customWidth="1"/>
    <col min="8201" max="8448" width="11.33203125" style="1"/>
    <col min="8449" max="8449" width="32.5546875" style="1" customWidth="1"/>
    <col min="8450" max="8454" width="11.6640625" style="1" customWidth="1"/>
    <col min="8455" max="8455" width="11.33203125" style="1" customWidth="1"/>
    <col min="8456" max="8456" width="14.44140625" style="1" bestFit="1" customWidth="1"/>
    <col min="8457" max="8704" width="11.33203125" style="1"/>
    <col min="8705" max="8705" width="32.5546875" style="1" customWidth="1"/>
    <col min="8706" max="8710" width="11.6640625" style="1" customWidth="1"/>
    <col min="8711" max="8711" width="11.33203125" style="1" customWidth="1"/>
    <col min="8712" max="8712" width="14.44140625" style="1" bestFit="1" customWidth="1"/>
    <col min="8713" max="8960" width="11.33203125" style="1"/>
    <col min="8961" max="8961" width="32.5546875" style="1" customWidth="1"/>
    <col min="8962" max="8966" width="11.6640625" style="1" customWidth="1"/>
    <col min="8967" max="8967" width="11.33203125" style="1" customWidth="1"/>
    <col min="8968" max="8968" width="14.44140625" style="1" bestFit="1" customWidth="1"/>
    <col min="8969" max="9216" width="11.33203125" style="1"/>
    <col min="9217" max="9217" width="32.5546875" style="1" customWidth="1"/>
    <col min="9218" max="9222" width="11.6640625" style="1" customWidth="1"/>
    <col min="9223" max="9223" width="11.33203125" style="1" customWidth="1"/>
    <col min="9224" max="9224" width="14.44140625" style="1" bestFit="1" customWidth="1"/>
    <col min="9225" max="9472" width="11.33203125" style="1"/>
    <col min="9473" max="9473" width="32.5546875" style="1" customWidth="1"/>
    <col min="9474" max="9478" width="11.6640625" style="1" customWidth="1"/>
    <col min="9479" max="9479" width="11.33203125" style="1" customWidth="1"/>
    <col min="9480" max="9480" width="14.44140625" style="1" bestFit="1" customWidth="1"/>
    <col min="9481" max="9728" width="11.33203125" style="1"/>
    <col min="9729" max="9729" width="32.5546875" style="1" customWidth="1"/>
    <col min="9730" max="9734" width="11.6640625" style="1" customWidth="1"/>
    <col min="9735" max="9735" width="11.33203125" style="1" customWidth="1"/>
    <col min="9736" max="9736" width="14.44140625" style="1" bestFit="1" customWidth="1"/>
    <col min="9737" max="9984" width="11.33203125" style="1"/>
    <col min="9985" max="9985" width="32.5546875" style="1" customWidth="1"/>
    <col min="9986" max="9990" width="11.6640625" style="1" customWidth="1"/>
    <col min="9991" max="9991" width="11.33203125" style="1" customWidth="1"/>
    <col min="9992" max="9992" width="14.44140625" style="1" bestFit="1" customWidth="1"/>
    <col min="9993" max="10240" width="11.33203125" style="1"/>
    <col min="10241" max="10241" width="32.5546875" style="1" customWidth="1"/>
    <col min="10242" max="10246" width="11.6640625" style="1" customWidth="1"/>
    <col min="10247" max="10247" width="11.33203125" style="1" customWidth="1"/>
    <col min="10248" max="10248" width="14.44140625" style="1" bestFit="1" customWidth="1"/>
    <col min="10249" max="10496" width="11.33203125" style="1"/>
    <col min="10497" max="10497" width="32.5546875" style="1" customWidth="1"/>
    <col min="10498" max="10502" width="11.6640625" style="1" customWidth="1"/>
    <col min="10503" max="10503" width="11.33203125" style="1" customWidth="1"/>
    <col min="10504" max="10504" width="14.44140625" style="1" bestFit="1" customWidth="1"/>
    <col min="10505" max="10752" width="11.33203125" style="1"/>
    <col min="10753" max="10753" width="32.5546875" style="1" customWidth="1"/>
    <col min="10754" max="10758" width="11.6640625" style="1" customWidth="1"/>
    <col min="10759" max="10759" width="11.33203125" style="1" customWidth="1"/>
    <col min="10760" max="10760" width="14.44140625" style="1" bestFit="1" customWidth="1"/>
    <col min="10761" max="11008" width="11.33203125" style="1"/>
    <col min="11009" max="11009" width="32.5546875" style="1" customWidth="1"/>
    <col min="11010" max="11014" width="11.6640625" style="1" customWidth="1"/>
    <col min="11015" max="11015" width="11.33203125" style="1" customWidth="1"/>
    <col min="11016" max="11016" width="14.44140625" style="1" bestFit="1" customWidth="1"/>
    <col min="11017" max="11264" width="11.33203125" style="1"/>
    <col min="11265" max="11265" width="32.5546875" style="1" customWidth="1"/>
    <col min="11266" max="11270" width="11.6640625" style="1" customWidth="1"/>
    <col min="11271" max="11271" width="11.33203125" style="1" customWidth="1"/>
    <col min="11272" max="11272" width="14.44140625" style="1" bestFit="1" customWidth="1"/>
    <col min="11273" max="11520" width="11.33203125" style="1"/>
    <col min="11521" max="11521" width="32.5546875" style="1" customWidth="1"/>
    <col min="11522" max="11526" width="11.6640625" style="1" customWidth="1"/>
    <col min="11527" max="11527" width="11.33203125" style="1" customWidth="1"/>
    <col min="11528" max="11528" width="14.44140625" style="1" bestFit="1" customWidth="1"/>
    <col min="11529" max="11776" width="11.33203125" style="1"/>
    <col min="11777" max="11777" width="32.5546875" style="1" customWidth="1"/>
    <col min="11778" max="11782" width="11.6640625" style="1" customWidth="1"/>
    <col min="11783" max="11783" width="11.33203125" style="1" customWidth="1"/>
    <col min="11784" max="11784" width="14.44140625" style="1" bestFit="1" customWidth="1"/>
    <col min="11785" max="12032" width="11.33203125" style="1"/>
    <col min="12033" max="12033" width="32.5546875" style="1" customWidth="1"/>
    <col min="12034" max="12038" width="11.6640625" style="1" customWidth="1"/>
    <col min="12039" max="12039" width="11.33203125" style="1" customWidth="1"/>
    <col min="12040" max="12040" width="14.44140625" style="1" bestFit="1" customWidth="1"/>
    <col min="12041" max="12288" width="11.33203125" style="1"/>
    <col min="12289" max="12289" width="32.5546875" style="1" customWidth="1"/>
    <col min="12290" max="12294" width="11.6640625" style="1" customWidth="1"/>
    <col min="12295" max="12295" width="11.33203125" style="1" customWidth="1"/>
    <col min="12296" max="12296" width="14.44140625" style="1" bestFit="1" customWidth="1"/>
    <col min="12297" max="12544" width="11.33203125" style="1"/>
    <col min="12545" max="12545" width="32.5546875" style="1" customWidth="1"/>
    <col min="12546" max="12550" width="11.6640625" style="1" customWidth="1"/>
    <col min="12551" max="12551" width="11.33203125" style="1" customWidth="1"/>
    <col min="12552" max="12552" width="14.44140625" style="1" bestFit="1" customWidth="1"/>
    <col min="12553" max="12800" width="11.33203125" style="1"/>
    <col min="12801" max="12801" width="32.5546875" style="1" customWidth="1"/>
    <col min="12802" max="12806" width="11.6640625" style="1" customWidth="1"/>
    <col min="12807" max="12807" width="11.33203125" style="1" customWidth="1"/>
    <col min="12808" max="12808" width="14.44140625" style="1" bestFit="1" customWidth="1"/>
    <col min="12809" max="13056" width="11.33203125" style="1"/>
    <col min="13057" max="13057" width="32.5546875" style="1" customWidth="1"/>
    <col min="13058" max="13062" width="11.6640625" style="1" customWidth="1"/>
    <col min="13063" max="13063" width="11.33203125" style="1" customWidth="1"/>
    <col min="13064" max="13064" width="14.44140625" style="1" bestFit="1" customWidth="1"/>
    <col min="13065" max="13312" width="11.33203125" style="1"/>
    <col min="13313" max="13313" width="32.5546875" style="1" customWidth="1"/>
    <col min="13314" max="13318" width="11.6640625" style="1" customWidth="1"/>
    <col min="13319" max="13319" width="11.33203125" style="1" customWidth="1"/>
    <col min="13320" max="13320" width="14.44140625" style="1" bestFit="1" customWidth="1"/>
    <col min="13321" max="13568" width="11.33203125" style="1"/>
    <col min="13569" max="13569" width="32.5546875" style="1" customWidth="1"/>
    <col min="13570" max="13574" width="11.6640625" style="1" customWidth="1"/>
    <col min="13575" max="13575" width="11.33203125" style="1" customWidth="1"/>
    <col min="13576" max="13576" width="14.44140625" style="1" bestFit="1" customWidth="1"/>
    <col min="13577" max="13824" width="11.33203125" style="1"/>
    <col min="13825" max="13825" width="32.5546875" style="1" customWidth="1"/>
    <col min="13826" max="13830" width="11.6640625" style="1" customWidth="1"/>
    <col min="13831" max="13831" width="11.33203125" style="1" customWidth="1"/>
    <col min="13832" max="13832" width="14.44140625" style="1" bestFit="1" customWidth="1"/>
    <col min="13833" max="14080" width="11.33203125" style="1"/>
    <col min="14081" max="14081" width="32.5546875" style="1" customWidth="1"/>
    <col min="14082" max="14086" width="11.6640625" style="1" customWidth="1"/>
    <col min="14087" max="14087" width="11.33203125" style="1" customWidth="1"/>
    <col min="14088" max="14088" width="14.44140625" style="1" bestFit="1" customWidth="1"/>
    <col min="14089" max="14336" width="11.33203125" style="1"/>
    <col min="14337" max="14337" width="32.5546875" style="1" customWidth="1"/>
    <col min="14338" max="14342" width="11.6640625" style="1" customWidth="1"/>
    <col min="14343" max="14343" width="11.33203125" style="1" customWidth="1"/>
    <col min="14344" max="14344" width="14.44140625" style="1" bestFit="1" customWidth="1"/>
    <col min="14345" max="14592" width="11.33203125" style="1"/>
    <col min="14593" max="14593" width="32.5546875" style="1" customWidth="1"/>
    <col min="14594" max="14598" width="11.6640625" style="1" customWidth="1"/>
    <col min="14599" max="14599" width="11.33203125" style="1" customWidth="1"/>
    <col min="14600" max="14600" width="14.44140625" style="1" bestFit="1" customWidth="1"/>
    <col min="14601" max="14848" width="11.33203125" style="1"/>
    <col min="14849" max="14849" width="32.5546875" style="1" customWidth="1"/>
    <col min="14850" max="14854" width="11.6640625" style="1" customWidth="1"/>
    <col min="14855" max="14855" width="11.33203125" style="1" customWidth="1"/>
    <col min="14856" max="14856" width="14.44140625" style="1" bestFit="1" customWidth="1"/>
    <col min="14857" max="15104" width="11.33203125" style="1"/>
    <col min="15105" max="15105" width="32.5546875" style="1" customWidth="1"/>
    <col min="15106" max="15110" width="11.6640625" style="1" customWidth="1"/>
    <col min="15111" max="15111" width="11.33203125" style="1" customWidth="1"/>
    <col min="15112" max="15112" width="14.44140625" style="1" bestFit="1" customWidth="1"/>
    <col min="15113" max="15360" width="11.33203125" style="1"/>
    <col min="15361" max="15361" width="32.5546875" style="1" customWidth="1"/>
    <col min="15362" max="15366" width="11.6640625" style="1" customWidth="1"/>
    <col min="15367" max="15367" width="11.33203125" style="1" customWidth="1"/>
    <col min="15368" max="15368" width="14.44140625" style="1" bestFit="1" customWidth="1"/>
    <col min="15369" max="15616" width="11.33203125" style="1"/>
    <col min="15617" max="15617" width="32.5546875" style="1" customWidth="1"/>
    <col min="15618" max="15622" width="11.6640625" style="1" customWidth="1"/>
    <col min="15623" max="15623" width="11.33203125" style="1" customWidth="1"/>
    <col min="15624" max="15624" width="14.44140625" style="1" bestFit="1" customWidth="1"/>
    <col min="15625" max="15872" width="11.33203125" style="1"/>
    <col min="15873" max="15873" width="32.5546875" style="1" customWidth="1"/>
    <col min="15874" max="15878" width="11.6640625" style="1" customWidth="1"/>
    <col min="15879" max="15879" width="11.33203125" style="1" customWidth="1"/>
    <col min="15880" max="15880" width="14.44140625" style="1" bestFit="1" customWidth="1"/>
    <col min="15881" max="16128" width="11.33203125" style="1"/>
    <col min="16129" max="16129" width="32.5546875" style="1" customWidth="1"/>
    <col min="16130" max="16134" width="11.6640625" style="1" customWidth="1"/>
    <col min="16135" max="16135" width="11.33203125" style="1" customWidth="1"/>
    <col min="16136" max="16136" width="14.44140625" style="1" bestFit="1" customWidth="1"/>
    <col min="16137" max="16384" width="11.33203125" style="1"/>
  </cols>
  <sheetData>
    <row r="1" spans="1:6" ht="15.75" customHeight="1">
      <c r="A1" s="75" t="s">
        <v>352</v>
      </c>
      <c r="B1" s="2"/>
      <c r="D1" s="37"/>
      <c r="E1" s="4"/>
      <c r="F1" s="4"/>
    </row>
    <row r="2" spans="1:6" ht="15.75" customHeight="1">
      <c r="A2" s="77"/>
      <c r="B2" s="41"/>
      <c r="C2" s="41"/>
      <c r="D2" s="41"/>
    </row>
    <row r="3" spans="1:6" ht="15.75" customHeight="1">
      <c r="A3" s="447" t="s">
        <v>353</v>
      </c>
      <c r="B3" s="447"/>
      <c r="C3" s="447"/>
      <c r="D3" s="447"/>
      <c r="E3" s="447"/>
      <c r="F3" s="447"/>
    </row>
    <row r="4" spans="1:6" ht="15.75" customHeight="1">
      <c r="A4" s="447" t="s">
        <v>354</v>
      </c>
      <c r="B4" s="447"/>
      <c r="C4" s="447"/>
      <c r="D4" s="447"/>
      <c r="E4" s="447"/>
      <c r="F4" s="447"/>
    </row>
    <row r="5" spans="1:6" ht="15.75" customHeight="1">
      <c r="A5" s="447" t="s">
        <v>1052</v>
      </c>
      <c r="B5" s="447"/>
      <c r="C5" s="447"/>
      <c r="D5" s="447"/>
      <c r="E5" s="447"/>
      <c r="F5" s="447"/>
    </row>
    <row r="6" spans="1:6" ht="15.75" customHeight="1">
      <c r="A6" s="78"/>
      <c r="B6" s="5"/>
      <c r="C6" s="5"/>
      <c r="D6" s="56"/>
      <c r="E6" s="5"/>
      <c r="F6" s="5"/>
    </row>
    <row r="7" spans="1:6" ht="15.75" customHeight="1">
      <c r="A7" s="67"/>
      <c r="B7" s="453" t="s">
        <v>1040</v>
      </c>
      <c r="C7" s="453"/>
      <c r="D7" s="453"/>
      <c r="E7" s="453"/>
      <c r="F7" s="453"/>
    </row>
    <row r="8" spans="1:6" ht="15.75" customHeight="1">
      <c r="A8" s="80" t="s">
        <v>222</v>
      </c>
      <c r="B8" s="449">
        <v>2012</v>
      </c>
      <c r="C8" s="449">
        <v>2013</v>
      </c>
      <c r="D8" s="449">
        <v>2014</v>
      </c>
      <c r="E8" s="445">
        <v>2015</v>
      </c>
      <c r="F8" s="445">
        <v>2016</v>
      </c>
    </row>
    <row r="9" spans="1:6" ht="15.75" customHeight="1">
      <c r="A9" s="81"/>
      <c r="B9" s="450"/>
      <c r="C9" s="450"/>
      <c r="D9" s="450"/>
      <c r="E9" s="445"/>
      <c r="F9" s="445"/>
    </row>
    <row r="10" spans="1:6" ht="15.75" customHeight="1">
      <c r="A10" s="86"/>
      <c r="B10" s="12"/>
      <c r="C10" s="43"/>
      <c r="D10" s="60"/>
      <c r="E10" s="60"/>
      <c r="F10" s="65"/>
    </row>
    <row r="11" spans="1:6" ht="15.75" customHeight="1">
      <c r="A11" s="83" t="s">
        <v>221</v>
      </c>
      <c r="B11" s="63">
        <f>SUM(B13,B19,B21,B23,B25,B27,B29,B31,B33,B35,B37,B39,B41)</f>
        <v>835492</v>
      </c>
      <c r="C11" s="63">
        <f>SUM(C13,C19,C21,C23,C25,C27,C29,C31,C33,C35,C37,C39,C41)</f>
        <v>905211</v>
      </c>
      <c r="D11" s="63">
        <f>SUM(D13,D19,D21,D23,D25,D27,D29,D31,D33,D35,D37,D39,D41)</f>
        <v>931010</v>
      </c>
      <c r="E11" s="63">
        <f>SUM(E13,E19,E21,E23,E25,E27,E29,E31,E33,E35,E37,E39,E41)</f>
        <v>982918</v>
      </c>
      <c r="F11" s="63">
        <f>SUM(F13,F19,F21,F23,F25,F27,F29,F31,F33,F35,F37,F39,F41)</f>
        <v>984871</v>
      </c>
    </row>
    <row r="12" spans="1:6" ht="15.75" customHeight="1">
      <c r="A12" s="11"/>
      <c r="B12" s="14"/>
      <c r="C12" s="65"/>
      <c r="D12" s="65"/>
      <c r="E12" s="65"/>
      <c r="F12" s="65"/>
    </row>
    <row r="13" spans="1:6" ht="15.75" customHeight="1">
      <c r="A13" s="11" t="s">
        <v>333</v>
      </c>
      <c r="B13" s="419">
        <f>SUM(B15,B17)</f>
        <v>368846</v>
      </c>
      <c r="C13" s="419">
        <f>SUM(C15,C17)</f>
        <v>428183</v>
      </c>
      <c r="D13" s="419">
        <f>SUM(D15,D17)</f>
        <v>444258</v>
      </c>
      <c r="E13" s="419">
        <v>496012</v>
      </c>
      <c r="F13" s="419">
        <f>SUM(F15,F17)</f>
        <v>510600</v>
      </c>
    </row>
    <row r="14" spans="1:6" ht="15.75" customHeight="1">
      <c r="A14" s="11"/>
      <c r="B14" s="421"/>
      <c r="C14" s="420"/>
      <c r="D14" s="420"/>
      <c r="E14" s="420"/>
      <c r="F14" s="65"/>
    </row>
    <row r="15" spans="1:6" ht="15.75" customHeight="1">
      <c r="A15" s="67" t="s">
        <v>355</v>
      </c>
      <c r="B15" s="420">
        <v>93434</v>
      </c>
      <c r="C15" s="420">
        <v>79450</v>
      </c>
      <c r="D15" s="422">
        <v>76098</v>
      </c>
      <c r="E15" s="422">
        <v>71809</v>
      </c>
      <c r="F15" s="65">
        <v>57431</v>
      </c>
    </row>
    <row r="16" spans="1:6" ht="15.75" customHeight="1">
      <c r="A16" s="67"/>
      <c r="B16" s="420"/>
      <c r="C16" s="420"/>
      <c r="D16" s="420"/>
      <c r="E16" s="420"/>
      <c r="F16" s="65"/>
    </row>
    <row r="17" spans="1:7" ht="15.75" customHeight="1">
      <c r="A17" s="67" t="s">
        <v>335</v>
      </c>
      <c r="B17" s="420">
        <v>275412</v>
      </c>
      <c r="C17" s="420">
        <v>348733</v>
      </c>
      <c r="D17" s="422">
        <v>368160</v>
      </c>
      <c r="E17" s="422">
        <v>424203</v>
      </c>
      <c r="F17" s="65">
        <v>453169</v>
      </c>
    </row>
    <row r="18" spans="1:7" ht="15.75" customHeight="1">
      <c r="A18" s="67"/>
      <c r="B18" s="420"/>
      <c r="C18" s="420"/>
      <c r="D18" s="420"/>
      <c r="E18" s="420"/>
      <c r="F18" s="65"/>
    </row>
    <row r="19" spans="1:7" ht="15.75" customHeight="1">
      <c r="A19" s="11" t="s">
        <v>226</v>
      </c>
      <c r="B19" s="420">
        <v>7463</v>
      </c>
      <c r="C19" s="420">
        <v>7588</v>
      </c>
      <c r="D19" s="422">
        <v>7066</v>
      </c>
      <c r="E19" s="422">
        <v>6938</v>
      </c>
      <c r="F19" s="65">
        <v>6746</v>
      </c>
    </row>
    <row r="20" spans="1:7" ht="15.75" customHeight="1">
      <c r="A20" s="11"/>
      <c r="B20" s="420"/>
      <c r="C20" s="420"/>
      <c r="D20" s="420"/>
      <c r="E20" s="420"/>
      <c r="F20" s="65"/>
    </row>
    <row r="21" spans="1:7" ht="15.75" customHeight="1">
      <c r="A21" s="67" t="s">
        <v>336</v>
      </c>
      <c r="B21" s="420">
        <v>21956</v>
      </c>
      <c r="C21" s="420">
        <v>13183</v>
      </c>
      <c r="D21" s="422">
        <v>15850</v>
      </c>
      <c r="E21" s="422">
        <v>17740</v>
      </c>
      <c r="F21" s="65">
        <v>18232</v>
      </c>
    </row>
    <row r="22" spans="1:7" ht="15.75" customHeight="1">
      <c r="A22" s="11"/>
      <c r="B22" s="420"/>
      <c r="C22" s="420"/>
      <c r="D22" s="420"/>
      <c r="E22" s="420"/>
      <c r="F22" s="65"/>
    </row>
    <row r="23" spans="1:7" ht="15.75" customHeight="1">
      <c r="A23" s="11" t="s">
        <v>228</v>
      </c>
      <c r="B23" s="420">
        <v>18220</v>
      </c>
      <c r="C23" s="420">
        <v>19110</v>
      </c>
      <c r="D23" s="422">
        <v>19209</v>
      </c>
      <c r="E23" s="422">
        <v>19483</v>
      </c>
      <c r="F23" s="65">
        <v>19614</v>
      </c>
    </row>
    <row r="24" spans="1:7" ht="15.75" customHeight="1">
      <c r="A24" s="11"/>
      <c r="B24" s="420"/>
      <c r="C24" s="420"/>
      <c r="D24" s="420"/>
      <c r="E24" s="420"/>
      <c r="F24" s="65"/>
    </row>
    <row r="25" spans="1:7" ht="15.75" customHeight="1">
      <c r="A25" s="67" t="s">
        <v>229</v>
      </c>
      <c r="B25" s="420">
        <v>138410</v>
      </c>
      <c r="C25" s="420">
        <v>157556</v>
      </c>
      <c r="D25" s="422">
        <v>171546</v>
      </c>
      <c r="E25" s="422">
        <v>172045</v>
      </c>
      <c r="F25" s="65">
        <v>170764</v>
      </c>
    </row>
    <row r="26" spans="1:7" ht="15.75" customHeight="1">
      <c r="A26" s="67"/>
      <c r="B26" s="420"/>
      <c r="C26" s="420"/>
      <c r="D26" s="420"/>
      <c r="E26" s="420"/>
      <c r="F26" s="65"/>
    </row>
    <row r="27" spans="1:7" ht="15.75" customHeight="1">
      <c r="A27" s="67" t="s">
        <v>230</v>
      </c>
      <c r="B27" s="420">
        <v>42584</v>
      </c>
      <c r="C27" s="420">
        <v>44446</v>
      </c>
      <c r="D27" s="422">
        <v>48221</v>
      </c>
      <c r="E27" s="422">
        <v>47272</v>
      </c>
      <c r="F27" s="65">
        <v>42548</v>
      </c>
    </row>
    <row r="28" spans="1:7" ht="15.75" customHeight="1">
      <c r="A28" s="11"/>
      <c r="B28" s="420"/>
      <c r="C28" s="420"/>
      <c r="D28" s="420"/>
      <c r="E28" s="420"/>
      <c r="F28" s="65"/>
    </row>
    <row r="29" spans="1:7" ht="15.75" customHeight="1">
      <c r="A29" s="67" t="s">
        <v>231</v>
      </c>
      <c r="B29" s="420">
        <v>42198</v>
      </c>
      <c r="C29" s="420">
        <v>43712</v>
      </c>
      <c r="D29" s="422">
        <v>44581</v>
      </c>
      <c r="E29" s="422">
        <v>45820</v>
      </c>
      <c r="F29" s="65">
        <v>44356</v>
      </c>
    </row>
    <row r="30" spans="1:7" ht="15.75" customHeight="1">
      <c r="A30" s="11"/>
      <c r="B30" s="420"/>
      <c r="C30" s="420"/>
      <c r="D30" s="420"/>
      <c r="E30" s="420"/>
      <c r="F30" s="65"/>
      <c r="G30" s="1"/>
    </row>
    <row r="31" spans="1:7" ht="15.75" customHeight="1">
      <c r="A31" s="67" t="s">
        <v>232</v>
      </c>
      <c r="B31" s="420">
        <v>130103</v>
      </c>
      <c r="C31" s="420">
        <v>126477</v>
      </c>
      <c r="D31" s="422">
        <v>115775</v>
      </c>
      <c r="E31" s="422">
        <v>109968</v>
      </c>
      <c r="F31" s="65">
        <v>105506</v>
      </c>
    </row>
    <row r="32" spans="1:7" ht="15.75" customHeight="1">
      <c r="A32" s="67"/>
      <c r="B32" s="420"/>
      <c r="C32" s="420"/>
      <c r="D32" s="420"/>
      <c r="E32" s="420"/>
      <c r="F32" s="65"/>
      <c r="G32" s="1"/>
    </row>
    <row r="33" spans="1:6" ht="15.75" customHeight="1">
      <c r="A33" s="67" t="s">
        <v>233</v>
      </c>
      <c r="B33" s="420">
        <v>12161</v>
      </c>
      <c r="C33" s="420">
        <v>12369</v>
      </c>
      <c r="D33" s="422">
        <v>12210</v>
      </c>
      <c r="E33" s="422">
        <v>10730</v>
      </c>
      <c r="F33" s="65">
        <v>9782</v>
      </c>
    </row>
    <row r="34" spans="1:6" ht="15.75" customHeight="1">
      <c r="A34" s="67"/>
      <c r="B34" s="420"/>
      <c r="C34" s="420"/>
      <c r="D34" s="420"/>
      <c r="E34" s="420"/>
      <c r="F34" s="65"/>
    </row>
    <row r="35" spans="1:6" ht="15.75" customHeight="1">
      <c r="A35" s="67" t="s">
        <v>337</v>
      </c>
      <c r="B35" s="420">
        <v>26701</v>
      </c>
      <c r="C35" s="420">
        <v>23096</v>
      </c>
      <c r="D35" s="422">
        <v>22528</v>
      </c>
      <c r="E35" s="422">
        <v>23156</v>
      </c>
      <c r="F35" s="65">
        <v>21464</v>
      </c>
    </row>
    <row r="36" spans="1:6" ht="15.75" customHeight="1">
      <c r="A36" s="67"/>
      <c r="B36" s="420"/>
      <c r="C36" s="420"/>
      <c r="D36" s="420"/>
      <c r="E36" s="420"/>
      <c r="F36" s="65"/>
    </row>
    <row r="37" spans="1:6" ht="15.75" customHeight="1">
      <c r="A37" s="67" t="s">
        <v>235</v>
      </c>
      <c r="B37" s="420">
        <v>21978</v>
      </c>
      <c r="C37" s="420">
        <v>25366</v>
      </c>
      <c r="D37" s="422">
        <v>25585</v>
      </c>
      <c r="E37" s="422">
        <v>29475</v>
      </c>
      <c r="F37" s="65">
        <f>'c-3'!O8</f>
        <v>30418</v>
      </c>
    </row>
    <row r="38" spans="1:6" ht="15.75" customHeight="1">
      <c r="A38" s="67"/>
      <c r="B38" s="420"/>
      <c r="C38" s="420"/>
      <c r="D38" s="420"/>
      <c r="E38" s="420"/>
      <c r="F38" s="65"/>
    </row>
    <row r="39" spans="1:6" ht="15.75" customHeight="1">
      <c r="A39" s="67" t="s">
        <v>338</v>
      </c>
      <c r="B39" s="420">
        <v>1741</v>
      </c>
      <c r="C39" s="420">
        <v>1001</v>
      </c>
      <c r="D39" s="422">
        <v>1070</v>
      </c>
      <c r="E39" s="422">
        <f>'[8]c-9'!O9</f>
        <v>1114</v>
      </c>
      <c r="F39" s="65">
        <f>'c-3'!P8</f>
        <v>1344</v>
      </c>
    </row>
    <row r="40" spans="1:6" ht="15.75" customHeight="1">
      <c r="A40" s="67"/>
      <c r="B40" s="420"/>
      <c r="C40" s="420"/>
      <c r="D40" s="420"/>
      <c r="E40" s="420"/>
      <c r="F40" s="65"/>
    </row>
    <row r="41" spans="1:6" ht="15.75" customHeight="1">
      <c r="A41" s="67" t="s">
        <v>339</v>
      </c>
      <c r="B41" s="420">
        <v>3131</v>
      </c>
      <c r="C41" s="420">
        <v>3124</v>
      </c>
      <c r="D41" s="422">
        <v>3111</v>
      </c>
      <c r="E41" s="422">
        <v>3165</v>
      </c>
      <c r="F41" s="65">
        <f>'c-3'!Q8</f>
        <v>3497</v>
      </c>
    </row>
    <row r="42" spans="1:6" ht="15.75" customHeight="1">
      <c r="A42" s="68"/>
      <c r="B42" s="69"/>
      <c r="C42" s="71"/>
      <c r="D42" s="71"/>
      <c r="E42" s="71"/>
      <c r="F42" s="436"/>
    </row>
    <row r="43" spans="1:6" ht="15.75" customHeight="1">
      <c r="A43" s="87" t="s">
        <v>356</v>
      </c>
    </row>
    <row r="44" spans="1:6" ht="15.75" customHeight="1">
      <c r="A44" s="87" t="s">
        <v>357</v>
      </c>
    </row>
    <row r="45" spans="1:6" ht="15.75" customHeight="1">
      <c r="A45" s="87" t="s">
        <v>358</v>
      </c>
    </row>
    <row r="47" spans="1:6" ht="15.75" customHeight="1">
      <c r="A47" s="39" t="s">
        <v>1072</v>
      </c>
    </row>
  </sheetData>
  <sheetProtection selectLockedCells="1" selectUnlockedCells="1"/>
  <mergeCells count="9">
    <mergeCell ref="A3:F3"/>
    <mergeCell ref="A4:F4"/>
    <mergeCell ref="A5:F5"/>
    <mergeCell ref="B7:F7"/>
    <mergeCell ref="B8:B9"/>
    <mergeCell ref="C8:C9"/>
    <mergeCell ref="D8:D9"/>
    <mergeCell ref="E8:E9"/>
    <mergeCell ref="F8:F9"/>
  </mergeCells>
  <printOptions horizontalCentered="1" verticalCentered="1"/>
  <pageMargins left="0.78749999999999998" right="0.78749999999999998" top="0.98402777777777772" bottom="0.98402777777777772" header="0.51180555555555551" footer="0.51180555555555551"/>
  <pageSetup scale="80"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T484"/>
  <sheetViews>
    <sheetView zoomScale="85" zoomScaleNormal="85" workbookViewId="0">
      <selection activeCell="A3" sqref="A3:P3"/>
    </sheetView>
  </sheetViews>
  <sheetFormatPr baseColWidth="10" defaultColWidth="13.109375" defaultRowHeight="15.75" customHeight="1"/>
  <cols>
    <col min="1" max="1" width="83.109375" style="73" customWidth="1"/>
    <col min="2" max="13" width="13.88671875" style="4" customWidth="1"/>
    <col min="14" max="14" width="13.88671875" style="41" customWidth="1"/>
    <col min="15" max="16" width="13.88671875" style="88" customWidth="1"/>
    <col min="17" max="17" width="15.88671875" style="35" customWidth="1"/>
    <col min="18" max="16384" width="13.109375" style="35"/>
  </cols>
  <sheetData>
    <row r="1" spans="1:16" s="91" customFormat="1" ht="16.5" customHeight="1">
      <c r="A1" s="145" t="s">
        <v>651</v>
      </c>
      <c r="B1" s="89"/>
      <c r="C1" s="90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41"/>
    </row>
    <row r="2" spans="1:16" s="91" customFormat="1" ht="15.75" customHeight="1">
      <c r="A2" s="92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</row>
    <row r="3" spans="1:16" s="91" customFormat="1" ht="15.75" customHeight="1">
      <c r="A3" s="455" t="s">
        <v>1080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  <c r="P3" s="455"/>
    </row>
    <row r="4" spans="1:16" s="91" customFormat="1" ht="15.75" customHeight="1">
      <c r="A4" s="93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</row>
    <row r="5" spans="1:16" s="91" customFormat="1" ht="15.75" customHeight="1">
      <c r="A5" s="95"/>
      <c r="B5" s="96"/>
      <c r="C5" s="454" t="s">
        <v>222</v>
      </c>
      <c r="D5" s="454"/>
      <c r="E5" s="454"/>
      <c r="F5" s="454"/>
      <c r="G5" s="454"/>
      <c r="H5" s="454"/>
      <c r="I5" s="454"/>
      <c r="J5" s="454"/>
      <c r="K5" s="454"/>
      <c r="L5" s="454"/>
      <c r="M5" s="454"/>
      <c r="N5" s="454"/>
      <c r="O5" s="454"/>
      <c r="P5" s="454"/>
    </row>
    <row r="6" spans="1:16" s="91" customFormat="1" ht="15.75" customHeight="1">
      <c r="A6" s="80" t="s">
        <v>359</v>
      </c>
      <c r="B6" s="62" t="s">
        <v>221</v>
      </c>
      <c r="C6" s="97" t="s">
        <v>333</v>
      </c>
      <c r="D6" s="97" t="s">
        <v>360</v>
      </c>
      <c r="E6" s="97" t="s">
        <v>361</v>
      </c>
      <c r="F6" s="97" t="s">
        <v>228</v>
      </c>
      <c r="G6" s="97" t="s">
        <v>362</v>
      </c>
      <c r="H6" s="97" t="s">
        <v>231</v>
      </c>
      <c r="I6" s="97" t="s">
        <v>232</v>
      </c>
      <c r="J6" s="109" t="s">
        <v>363</v>
      </c>
      <c r="K6" s="97" t="s">
        <v>235</v>
      </c>
      <c r="L6" s="97" t="s">
        <v>364</v>
      </c>
      <c r="M6" s="97" t="s">
        <v>365</v>
      </c>
      <c r="N6" s="98" t="s">
        <v>366</v>
      </c>
      <c r="O6" s="63" t="s">
        <v>367</v>
      </c>
      <c r="P6" s="63" t="s">
        <v>368</v>
      </c>
    </row>
    <row r="7" spans="1:16" s="91" customFormat="1" ht="15.75" customHeight="1">
      <c r="A7" s="99"/>
      <c r="B7" s="100"/>
      <c r="C7" s="101"/>
      <c r="D7" s="101"/>
      <c r="E7" s="102" t="s">
        <v>369</v>
      </c>
      <c r="F7" s="102"/>
      <c r="G7" s="102"/>
      <c r="H7" s="101"/>
      <c r="I7" s="97"/>
      <c r="J7" s="398" t="s">
        <v>370</v>
      </c>
      <c r="K7" s="101"/>
      <c r="L7" s="102" t="s">
        <v>371</v>
      </c>
      <c r="M7" s="97" t="s">
        <v>372</v>
      </c>
      <c r="N7" s="103" t="s">
        <v>373</v>
      </c>
      <c r="O7" s="104" t="s">
        <v>370</v>
      </c>
      <c r="P7" s="105"/>
    </row>
    <row r="8" spans="1:16" s="91" customFormat="1" ht="15.75" customHeight="1">
      <c r="A8" s="106"/>
      <c r="B8" s="107"/>
      <c r="C8" s="108"/>
      <c r="D8" s="96"/>
      <c r="E8" s="109"/>
      <c r="F8" s="110"/>
      <c r="G8" s="110"/>
      <c r="H8" s="108"/>
      <c r="I8" s="110"/>
      <c r="J8" s="110"/>
      <c r="K8" s="108"/>
      <c r="L8" s="110"/>
      <c r="M8" s="110"/>
      <c r="N8" s="98"/>
      <c r="O8" s="19"/>
      <c r="P8" s="111"/>
    </row>
    <row r="9" spans="1:16" s="91" customFormat="1" ht="15.75" customHeight="1">
      <c r="A9" s="106" t="s">
        <v>221</v>
      </c>
      <c r="B9" s="107">
        <f>SUM(C9:P9)</f>
        <v>792847</v>
      </c>
      <c r="C9" s="97">
        <f>SUM(C59,C74,C205,C239,C324,C332,C404)</f>
        <v>16645</v>
      </c>
      <c r="D9" s="97">
        <f>SUM(D74+D87+D239+D324+D332+D404)</f>
        <v>164522</v>
      </c>
      <c r="E9" s="97">
        <f>SUM(E81)</f>
        <v>14758</v>
      </c>
      <c r="F9" s="97">
        <f>SUM(F91,F205,F227)</f>
        <v>29922</v>
      </c>
      <c r="G9" s="97">
        <f>SUM(G59,G121,G205)</f>
        <v>3058</v>
      </c>
      <c r="H9" s="97">
        <f>SUM(H141,H205,H257,H324,H332,H404)</f>
        <v>31450</v>
      </c>
      <c r="I9" s="97">
        <f>SUM(I15,I153,I410)</f>
        <v>286093</v>
      </c>
      <c r="J9" s="97">
        <f>SUM(J267,J332)</f>
        <v>39356</v>
      </c>
      <c r="K9" s="97">
        <f>SUM(K286,K332,K404,K267)</f>
        <v>81515</v>
      </c>
      <c r="L9" s="97">
        <f>SUM(L267,L303,L315,L332)</f>
        <v>40001</v>
      </c>
      <c r="M9" s="97">
        <f>SUM(M194,M205,M227,M410)</f>
        <v>17792</v>
      </c>
      <c r="N9" s="98">
        <f>SUM(N106,N205,N227,N315,N332)</f>
        <v>48607</v>
      </c>
      <c r="O9" s="112">
        <f>SUM(O13)</f>
        <v>17967</v>
      </c>
      <c r="P9" s="112">
        <f>SUM(P11)</f>
        <v>1161</v>
      </c>
    </row>
    <row r="10" spans="1:16" ht="15.75" customHeight="1">
      <c r="A10" s="113"/>
      <c r="B10" s="26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21"/>
      <c r="O10" s="19"/>
      <c r="P10" s="19"/>
    </row>
    <row r="11" spans="1:16" ht="15.75" customHeight="1">
      <c r="A11" s="113" t="s">
        <v>123</v>
      </c>
      <c r="B11" s="26">
        <f>SUM(C11:P11)</f>
        <v>1161</v>
      </c>
      <c r="C11" s="51" t="s">
        <v>374</v>
      </c>
      <c r="D11" s="51" t="s">
        <v>374</v>
      </c>
      <c r="E11" s="51" t="s">
        <v>374</v>
      </c>
      <c r="F11" s="51" t="s">
        <v>374</v>
      </c>
      <c r="G11" s="51" t="s">
        <v>374</v>
      </c>
      <c r="H11" s="51" t="s">
        <v>374</v>
      </c>
      <c r="I11" s="51" t="s">
        <v>374</v>
      </c>
      <c r="J11" s="51" t="s">
        <v>374</v>
      </c>
      <c r="K11" s="51" t="s">
        <v>374</v>
      </c>
      <c r="L11" s="51" t="s">
        <v>374</v>
      </c>
      <c r="M11" s="51" t="s">
        <v>374</v>
      </c>
      <c r="N11" s="21" t="s">
        <v>374</v>
      </c>
      <c r="O11" s="26" t="s">
        <v>374</v>
      </c>
      <c r="P11" s="65">
        <f>'c-26'!B10</f>
        <v>1161</v>
      </c>
    </row>
    <row r="12" spans="1:16" ht="15.75" customHeight="1">
      <c r="A12" s="113"/>
      <c r="B12" s="26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21"/>
      <c r="O12" s="19"/>
      <c r="P12" s="19"/>
    </row>
    <row r="13" spans="1:16" ht="15.75" customHeight="1">
      <c r="A13" s="113" t="s">
        <v>124</v>
      </c>
      <c r="B13" s="26">
        <f>SUM(C13:P13)</f>
        <v>17967</v>
      </c>
      <c r="C13" s="51" t="s">
        <v>374</v>
      </c>
      <c r="D13" s="51" t="s">
        <v>374</v>
      </c>
      <c r="E13" s="51" t="s">
        <v>374</v>
      </c>
      <c r="F13" s="51" t="s">
        <v>374</v>
      </c>
      <c r="G13" s="51" t="s">
        <v>374</v>
      </c>
      <c r="H13" s="51" t="s">
        <v>374</v>
      </c>
      <c r="I13" s="51" t="s">
        <v>374</v>
      </c>
      <c r="J13" s="51" t="s">
        <v>374</v>
      </c>
      <c r="K13" s="51" t="s">
        <v>374</v>
      </c>
      <c r="L13" s="51" t="s">
        <v>374</v>
      </c>
      <c r="M13" s="51" t="s">
        <v>374</v>
      </c>
      <c r="N13" s="21" t="s">
        <v>374</v>
      </c>
      <c r="O13" s="65">
        <f>'c-25'!B10</f>
        <v>17967</v>
      </c>
      <c r="P13" s="112" t="s">
        <v>374</v>
      </c>
    </row>
    <row r="14" spans="1:16" ht="15.75" customHeight="1">
      <c r="A14" s="113"/>
      <c r="B14" s="26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21"/>
      <c r="O14" s="19"/>
      <c r="P14" s="19"/>
    </row>
    <row r="15" spans="1:16" s="91" customFormat="1" ht="15.75" customHeight="1">
      <c r="A15" s="106" t="s">
        <v>375</v>
      </c>
      <c r="B15" s="62">
        <f>SUM(B17:B55)</f>
        <v>19655</v>
      </c>
      <c r="C15" s="97" t="s">
        <v>374</v>
      </c>
      <c r="D15" s="97" t="s">
        <v>374</v>
      </c>
      <c r="E15" s="97" t="s">
        <v>374</v>
      </c>
      <c r="F15" s="97" t="s">
        <v>374</v>
      </c>
      <c r="G15" s="97" t="s">
        <v>374</v>
      </c>
      <c r="H15" s="97" t="s">
        <v>374</v>
      </c>
      <c r="I15" s="62">
        <f>SUM(I17:I55)</f>
        <v>19655</v>
      </c>
      <c r="J15" s="97" t="s">
        <v>374</v>
      </c>
      <c r="K15" s="97" t="s">
        <v>374</v>
      </c>
      <c r="L15" s="97" t="s">
        <v>374</v>
      </c>
      <c r="M15" s="97" t="s">
        <v>374</v>
      </c>
      <c r="N15" s="98" t="s">
        <v>374</v>
      </c>
      <c r="O15" s="112" t="s">
        <v>374</v>
      </c>
      <c r="P15" s="112" t="s">
        <v>374</v>
      </c>
    </row>
    <row r="16" spans="1:16" s="91" customFormat="1" ht="15.75" customHeight="1">
      <c r="A16" s="106"/>
      <c r="B16" s="62"/>
      <c r="C16" s="114"/>
      <c r="D16" s="114"/>
      <c r="E16" s="114"/>
      <c r="F16" s="114"/>
      <c r="G16" s="114"/>
      <c r="H16" s="114"/>
      <c r="I16" s="62"/>
      <c r="J16" s="114"/>
      <c r="K16" s="114"/>
      <c r="L16" s="114"/>
      <c r="M16" s="114"/>
      <c r="N16" s="115"/>
      <c r="O16" s="65"/>
      <c r="P16" s="65"/>
    </row>
    <row r="17" spans="1:16" ht="15.75" customHeight="1">
      <c r="A17" s="116" t="s">
        <v>376</v>
      </c>
      <c r="B17" s="26">
        <f>SUM(C17:P17)</f>
        <v>1120</v>
      </c>
      <c r="C17" s="117" t="s">
        <v>374</v>
      </c>
      <c r="D17" s="117" t="s">
        <v>374</v>
      </c>
      <c r="E17" s="117" t="s">
        <v>374</v>
      </c>
      <c r="F17" s="117" t="s">
        <v>374</v>
      </c>
      <c r="G17" s="117" t="s">
        <v>374</v>
      </c>
      <c r="H17" s="117" t="s">
        <v>374</v>
      </c>
      <c r="I17" s="24">
        <f>'c-20'!C12</f>
        <v>1120</v>
      </c>
      <c r="J17" s="117" t="s">
        <v>374</v>
      </c>
      <c r="K17" s="117" t="s">
        <v>374</v>
      </c>
      <c r="L17" s="117" t="s">
        <v>374</v>
      </c>
      <c r="M17" s="117" t="s">
        <v>374</v>
      </c>
      <c r="N17" s="118" t="s">
        <v>374</v>
      </c>
      <c r="O17" s="65" t="s">
        <v>374</v>
      </c>
      <c r="P17" s="65" t="s">
        <v>374</v>
      </c>
    </row>
    <row r="18" spans="1:16" ht="15.75" customHeight="1">
      <c r="A18" s="116" t="s">
        <v>125</v>
      </c>
      <c r="B18" s="26">
        <f t="shared" ref="B18:B55" si="0">SUM(C18:P18)</f>
        <v>1261</v>
      </c>
      <c r="C18" s="117" t="s">
        <v>374</v>
      </c>
      <c r="D18" s="117" t="s">
        <v>374</v>
      </c>
      <c r="E18" s="117" t="s">
        <v>374</v>
      </c>
      <c r="F18" s="117" t="s">
        <v>374</v>
      </c>
      <c r="G18" s="117" t="s">
        <v>374</v>
      </c>
      <c r="H18" s="117" t="s">
        <v>374</v>
      </c>
      <c r="I18" s="24">
        <f>'c-20'!C13</f>
        <v>1261</v>
      </c>
      <c r="J18" s="117" t="s">
        <v>374</v>
      </c>
      <c r="K18" s="117" t="s">
        <v>374</v>
      </c>
      <c r="L18" s="117" t="s">
        <v>374</v>
      </c>
      <c r="M18" s="117" t="s">
        <v>374</v>
      </c>
      <c r="N18" s="118" t="s">
        <v>374</v>
      </c>
      <c r="O18" s="65" t="s">
        <v>374</v>
      </c>
      <c r="P18" s="65" t="s">
        <v>374</v>
      </c>
    </row>
    <row r="19" spans="1:16" ht="15.75" customHeight="1">
      <c r="A19" s="116" t="s">
        <v>126</v>
      </c>
      <c r="B19" s="26">
        <f t="shared" si="0"/>
        <v>825</v>
      </c>
      <c r="C19" s="117" t="s">
        <v>374</v>
      </c>
      <c r="D19" s="117" t="s">
        <v>374</v>
      </c>
      <c r="E19" s="117" t="s">
        <v>374</v>
      </c>
      <c r="F19" s="117" t="s">
        <v>374</v>
      </c>
      <c r="G19" s="117" t="s">
        <v>374</v>
      </c>
      <c r="H19" s="117" t="s">
        <v>374</v>
      </c>
      <c r="I19" s="24">
        <f>'c-20'!C20</f>
        <v>825</v>
      </c>
      <c r="J19" s="117" t="s">
        <v>374</v>
      </c>
      <c r="K19" s="117" t="s">
        <v>374</v>
      </c>
      <c r="L19" s="117" t="s">
        <v>374</v>
      </c>
      <c r="M19" s="117" t="s">
        <v>374</v>
      </c>
      <c r="N19" s="118" t="s">
        <v>374</v>
      </c>
      <c r="O19" s="65" t="s">
        <v>374</v>
      </c>
      <c r="P19" s="65" t="s">
        <v>374</v>
      </c>
    </row>
    <row r="20" spans="1:16" ht="15.75" customHeight="1">
      <c r="A20" s="116" t="s">
        <v>377</v>
      </c>
      <c r="B20" s="26">
        <f t="shared" si="0"/>
        <v>485</v>
      </c>
      <c r="C20" s="117" t="s">
        <v>374</v>
      </c>
      <c r="D20" s="117" t="s">
        <v>374</v>
      </c>
      <c r="E20" s="117" t="s">
        <v>374</v>
      </c>
      <c r="F20" s="117" t="s">
        <v>374</v>
      </c>
      <c r="G20" s="117" t="s">
        <v>374</v>
      </c>
      <c r="H20" s="117" t="s">
        <v>374</v>
      </c>
      <c r="I20" s="24">
        <f>'c-20'!C21</f>
        <v>485</v>
      </c>
      <c r="J20" s="117" t="s">
        <v>374</v>
      </c>
      <c r="K20" s="117" t="s">
        <v>374</v>
      </c>
      <c r="L20" s="117" t="s">
        <v>374</v>
      </c>
      <c r="M20" s="117" t="s">
        <v>374</v>
      </c>
      <c r="N20" s="118" t="s">
        <v>374</v>
      </c>
      <c r="O20" s="65" t="s">
        <v>374</v>
      </c>
      <c r="P20" s="65" t="s">
        <v>374</v>
      </c>
    </row>
    <row r="21" spans="1:16" ht="15.75" customHeight="1">
      <c r="A21" s="116" t="s">
        <v>378</v>
      </c>
      <c r="B21" s="26">
        <f t="shared" si="0"/>
        <v>779</v>
      </c>
      <c r="C21" s="117" t="s">
        <v>374</v>
      </c>
      <c r="D21" s="117" t="s">
        <v>374</v>
      </c>
      <c r="E21" s="117" t="s">
        <v>374</v>
      </c>
      <c r="F21" s="117" t="s">
        <v>374</v>
      </c>
      <c r="G21" s="117" t="s">
        <v>374</v>
      </c>
      <c r="H21" s="117" t="s">
        <v>374</v>
      </c>
      <c r="I21" s="24">
        <f>'c-20'!C16</f>
        <v>779</v>
      </c>
      <c r="J21" s="117" t="s">
        <v>374</v>
      </c>
      <c r="K21" s="117" t="s">
        <v>374</v>
      </c>
      <c r="L21" s="117" t="s">
        <v>374</v>
      </c>
      <c r="M21" s="117" t="s">
        <v>374</v>
      </c>
      <c r="N21" s="118" t="s">
        <v>374</v>
      </c>
      <c r="O21" s="65" t="s">
        <v>374</v>
      </c>
      <c r="P21" s="65" t="s">
        <v>374</v>
      </c>
    </row>
    <row r="22" spans="1:16" ht="15.75" customHeight="1">
      <c r="A22" s="116" t="s">
        <v>127</v>
      </c>
      <c r="B22" s="26">
        <f t="shared" si="0"/>
        <v>797</v>
      </c>
      <c r="C22" s="117" t="s">
        <v>374</v>
      </c>
      <c r="D22" s="117" t="s">
        <v>374</v>
      </c>
      <c r="E22" s="117" t="s">
        <v>374</v>
      </c>
      <c r="F22" s="117" t="s">
        <v>374</v>
      </c>
      <c r="G22" s="117" t="s">
        <v>374</v>
      </c>
      <c r="H22" s="117" t="s">
        <v>374</v>
      </c>
      <c r="I22" s="24">
        <f>'c-20'!C17</f>
        <v>797</v>
      </c>
      <c r="J22" s="117" t="s">
        <v>374</v>
      </c>
      <c r="K22" s="117" t="s">
        <v>374</v>
      </c>
      <c r="L22" s="117" t="s">
        <v>374</v>
      </c>
      <c r="M22" s="117" t="s">
        <v>374</v>
      </c>
      <c r="N22" s="118" t="s">
        <v>374</v>
      </c>
      <c r="O22" s="65" t="s">
        <v>374</v>
      </c>
      <c r="P22" s="65" t="s">
        <v>374</v>
      </c>
    </row>
    <row r="23" spans="1:16" ht="15.75" customHeight="1">
      <c r="A23" s="116" t="s">
        <v>563</v>
      </c>
      <c r="B23" s="26">
        <f t="shared" si="0"/>
        <v>345</v>
      </c>
      <c r="C23" s="117" t="s">
        <v>374</v>
      </c>
      <c r="D23" s="117" t="s">
        <v>374</v>
      </c>
      <c r="E23" s="117" t="s">
        <v>374</v>
      </c>
      <c r="F23" s="117" t="s">
        <v>374</v>
      </c>
      <c r="G23" s="117" t="s">
        <v>374</v>
      </c>
      <c r="H23" s="117" t="s">
        <v>374</v>
      </c>
      <c r="I23" s="24">
        <f>'c-20'!C62</f>
        <v>345</v>
      </c>
      <c r="J23" s="117" t="s">
        <v>374</v>
      </c>
      <c r="K23" s="117" t="s">
        <v>374</v>
      </c>
      <c r="L23" s="117" t="s">
        <v>374</v>
      </c>
      <c r="M23" s="117" t="s">
        <v>374</v>
      </c>
      <c r="N23" s="118" t="s">
        <v>374</v>
      </c>
      <c r="O23" s="65" t="s">
        <v>374</v>
      </c>
      <c r="P23" s="65" t="s">
        <v>374</v>
      </c>
    </row>
    <row r="24" spans="1:16" ht="15.75" customHeight="1">
      <c r="A24" s="116" t="s">
        <v>564</v>
      </c>
      <c r="B24" s="26">
        <f t="shared" si="0"/>
        <v>455</v>
      </c>
      <c r="C24" s="117" t="s">
        <v>374</v>
      </c>
      <c r="D24" s="117" t="s">
        <v>374</v>
      </c>
      <c r="E24" s="117" t="s">
        <v>374</v>
      </c>
      <c r="F24" s="117" t="s">
        <v>374</v>
      </c>
      <c r="G24" s="117" t="s">
        <v>374</v>
      </c>
      <c r="H24" s="117" t="s">
        <v>374</v>
      </c>
      <c r="I24" s="24">
        <f>'c-20'!C63</f>
        <v>455</v>
      </c>
      <c r="J24" s="117" t="s">
        <v>374</v>
      </c>
      <c r="K24" s="117" t="s">
        <v>374</v>
      </c>
      <c r="L24" s="117" t="s">
        <v>374</v>
      </c>
      <c r="M24" s="117" t="s">
        <v>374</v>
      </c>
      <c r="N24" s="118" t="s">
        <v>374</v>
      </c>
      <c r="O24" s="65" t="s">
        <v>374</v>
      </c>
      <c r="P24" s="65" t="s">
        <v>374</v>
      </c>
    </row>
    <row r="25" spans="1:16" ht="15.75" customHeight="1">
      <c r="A25" s="116" t="s">
        <v>565</v>
      </c>
      <c r="B25" s="26">
        <f t="shared" si="0"/>
        <v>954</v>
      </c>
      <c r="C25" s="117" t="s">
        <v>374</v>
      </c>
      <c r="D25" s="117" t="s">
        <v>374</v>
      </c>
      <c r="E25" s="117" t="s">
        <v>374</v>
      </c>
      <c r="F25" s="117" t="s">
        <v>374</v>
      </c>
      <c r="G25" s="117" t="s">
        <v>374</v>
      </c>
      <c r="H25" s="117" t="s">
        <v>374</v>
      </c>
      <c r="I25" s="24">
        <f>'c-20'!C24</f>
        <v>954</v>
      </c>
      <c r="J25" s="117" t="s">
        <v>374</v>
      </c>
      <c r="K25" s="117" t="s">
        <v>374</v>
      </c>
      <c r="L25" s="117" t="s">
        <v>374</v>
      </c>
      <c r="M25" s="117" t="s">
        <v>374</v>
      </c>
      <c r="N25" s="118" t="s">
        <v>374</v>
      </c>
      <c r="O25" s="65" t="s">
        <v>374</v>
      </c>
      <c r="P25" s="65" t="s">
        <v>374</v>
      </c>
    </row>
    <row r="26" spans="1:16" ht="15.75" customHeight="1">
      <c r="A26" s="116" t="s">
        <v>128</v>
      </c>
      <c r="B26" s="26">
        <f t="shared" si="0"/>
        <v>263</v>
      </c>
      <c r="C26" s="117" t="s">
        <v>374</v>
      </c>
      <c r="D26" s="117" t="s">
        <v>374</v>
      </c>
      <c r="E26" s="117" t="s">
        <v>374</v>
      </c>
      <c r="F26" s="117" t="s">
        <v>374</v>
      </c>
      <c r="G26" s="117" t="s">
        <v>374</v>
      </c>
      <c r="H26" s="117" t="s">
        <v>374</v>
      </c>
      <c r="I26" s="24">
        <f>'c-20'!C25</f>
        <v>263</v>
      </c>
      <c r="J26" s="117" t="s">
        <v>374</v>
      </c>
      <c r="K26" s="117" t="s">
        <v>374</v>
      </c>
      <c r="L26" s="117" t="s">
        <v>374</v>
      </c>
      <c r="M26" s="117" t="s">
        <v>374</v>
      </c>
      <c r="N26" s="118" t="s">
        <v>374</v>
      </c>
      <c r="O26" s="65" t="s">
        <v>374</v>
      </c>
      <c r="P26" s="65" t="s">
        <v>374</v>
      </c>
    </row>
    <row r="27" spans="1:16" ht="15.75" customHeight="1">
      <c r="A27" s="116" t="s">
        <v>566</v>
      </c>
      <c r="B27" s="26">
        <f t="shared" si="0"/>
        <v>199</v>
      </c>
      <c r="C27" s="117" t="s">
        <v>374</v>
      </c>
      <c r="D27" s="117" t="s">
        <v>374</v>
      </c>
      <c r="E27" s="117" t="s">
        <v>374</v>
      </c>
      <c r="F27" s="117" t="s">
        <v>374</v>
      </c>
      <c r="G27" s="117" t="s">
        <v>374</v>
      </c>
      <c r="H27" s="117" t="s">
        <v>374</v>
      </c>
      <c r="I27" s="24">
        <f>'c-20'!C32</f>
        <v>199</v>
      </c>
      <c r="J27" s="117" t="s">
        <v>374</v>
      </c>
      <c r="K27" s="117" t="s">
        <v>374</v>
      </c>
      <c r="L27" s="117" t="s">
        <v>374</v>
      </c>
      <c r="M27" s="117" t="s">
        <v>374</v>
      </c>
      <c r="N27" s="118" t="s">
        <v>374</v>
      </c>
      <c r="O27" s="65" t="s">
        <v>374</v>
      </c>
      <c r="P27" s="65" t="s">
        <v>374</v>
      </c>
    </row>
    <row r="28" spans="1:16" ht="15.75" customHeight="1">
      <c r="A28" s="116" t="s">
        <v>567</v>
      </c>
      <c r="B28" s="26">
        <f t="shared" si="0"/>
        <v>285</v>
      </c>
      <c r="C28" s="117" t="s">
        <v>374</v>
      </c>
      <c r="D28" s="117" t="s">
        <v>374</v>
      </c>
      <c r="E28" s="117" t="s">
        <v>374</v>
      </c>
      <c r="F28" s="117" t="s">
        <v>374</v>
      </c>
      <c r="G28" s="117" t="s">
        <v>374</v>
      </c>
      <c r="H28" s="117" t="s">
        <v>374</v>
      </c>
      <c r="I28" s="24">
        <f>'c-20'!C33</f>
        <v>285</v>
      </c>
      <c r="J28" s="117" t="s">
        <v>374</v>
      </c>
      <c r="K28" s="117" t="s">
        <v>374</v>
      </c>
      <c r="L28" s="117" t="s">
        <v>374</v>
      </c>
      <c r="M28" s="117" t="s">
        <v>374</v>
      </c>
      <c r="N28" s="118" t="s">
        <v>374</v>
      </c>
      <c r="O28" s="65" t="s">
        <v>374</v>
      </c>
      <c r="P28" s="65" t="s">
        <v>374</v>
      </c>
    </row>
    <row r="29" spans="1:16" ht="15.75" customHeight="1">
      <c r="A29" s="116" t="s">
        <v>568</v>
      </c>
      <c r="B29" s="26">
        <f t="shared" si="0"/>
        <v>122</v>
      </c>
      <c r="C29" s="117" t="s">
        <v>374</v>
      </c>
      <c r="D29" s="117" t="s">
        <v>374</v>
      </c>
      <c r="E29" s="117" t="s">
        <v>374</v>
      </c>
      <c r="F29" s="117" t="s">
        <v>374</v>
      </c>
      <c r="G29" s="117" t="s">
        <v>374</v>
      </c>
      <c r="H29" s="117" t="s">
        <v>374</v>
      </c>
      <c r="I29" s="24">
        <f>'c-20'!C34</f>
        <v>122</v>
      </c>
      <c r="J29" s="117" t="s">
        <v>374</v>
      </c>
      <c r="K29" s="117" t="s">
        <v>374</v>
      </c>
      <c r="L29" s="117" t="s">
        <v>374</v>
      </c>
      <c r="M29" s="117" t="s">
        <v>374</v>
      </c>
      <c r="N29" s="118" t="s">
        <v>374</v>
      </c>
      <c r="O29" s="65" t="s">
        <v>374</v>
      </c>
      <c r="P29" s="65" t="s">
        <v>374</v>
      </c>
    </row>
    <row r="30" spans="1:16" ht="15.75" customHeight="1">
      <c r="A30" s="116" t="s">
        <v>129</v>
      </c>
      <c r="B30" s="26">
        <f t="shared" si="0"/>
        <v>399</v>
      </c>
      <c r="C30" s="117" t="s">
        <v>374</v>
      </c>
      <c r="D30" s="117" t="s">
        <v>374</v>
      </c>
      <c r="E30" s="117" t="s">
        <v>374</v>
      </c>
      <c r="F30" s="117" t="s">
        <v>374</v>
      </c>
      <c r="G30" s="117" t="s">
        <v>374</v>
      </c>
      <c r="H30" s="117" t="s">
        <v>374</v>
      </c>
      <c r="I30" s="24">
        <f>'c-20'!C28</f>
        <v>399</v>
      </c>
      <c r="J30" s="117" t="s">
        <v>374</v>
      </c>
      <c r="K30" s="117" t="s">
        <v>374</v>
      </c>
      <c r="L30" s="117" t="s">
        <v>374</v>
      </c>
      <c r="M30" s="117" t="s">
        <v>374</v>
      </c>
      <c r="N30" s="118" t="s">
        <v>374</v>
      </c>
      <c r="O30" s="65" t="s">
        <v>374</v>
      </c>
      <c r="P30" s="65" t="s">
        <v>374</v>
      </c>
    </row>
    <row r="31" spans="1:16" ht="15.75" customHeight="1">
      <c r="A31" s="116" t="s">
        <v>130</v>
      </c>
      <c r="B31" s="26">
        <f t="shared" si="0"/>
        <v>521</v>
      </c>
      <c r="C31" s="117" t="s">
        <v>374</v>
      </c>
      <c r="D31" s="117" t="s">
        <v>374</v>
      </c>
      <c r="E31" s="117" t="s">
        <v>374</v>
      </c>
      <c r="F31" s="117" t="s">
        <v>374</v>
      </c>
      <c r="G31" s="117" t="s">
        <v>374</v>
      </c>
      <c r="H31" s="117" t="s">
        <v>374</v>
      </c>
      <c r="I31" s="24">
        <f>'c-20'!C29</f>
        <v>521</v>
      </c>
      <c r="J31" s="117" t="s">
        <v>374</v>
      </c>
      <c r="K31" s="117" t="s">
        <v>374</v>
      </c>
      <c r="L31" s="117" t="s">
        <v>374</v>
      </c>
      <c r="M31" s="117" t="s">
        <v>374</v>
      </c>
      <c r="N31" s="118" t="s">
        <v>374</v>
      </c>
      <c r="O31" s="65" t="s">
        <v>374</v>
      </c>
      <c r="P31" s="65" t="s">
        <v>374</v>
      </c>
    </row>
    <row r="32" spans="1:16" ht="15.75" customHeight="1">
      <c r="A32" s="116" t="s">
        <v>569</v>
      </c>
      <c r="B32" s="26">
        <f t="shared" si="0"/>
        <v>829</v>
      </c>
      <c r="C32" s="117" t="s">
        <v>374</v>
      </c>
      <c r="D32" s="117" t="s">
        <v>374</v>
      </c>
      <c r="E32" s="117" t="s">
        <v>374</v>
      </c>
      <c r="F32" s="117" t="s">
        <v>374</v>
      </c>
      <c r="G32" s="117" t="s">
        <v>374</v>
      </c>
      <c r="H32" s="117" t="s">
        <v>374</v>
      </c>
      <c r="I32" s="24">
        <f>'c-20'!C37</f>
        <v>829</v>
      </c>
      <c r="J32" s="117" t="s">
        <v>374</v>
      </c>
      <c r="K32" s="117" t="s">
        <v>374</v>
      </c>
      <c r="L32" s="117" t="s">
        <v>374</v>
      </c>
      <c r="M32" s="117" t="s">
        <v>374</v>
      </c>
      <c r="N32" s="118" t="s">
        <v>374</v>
      </c>
      <c r="O32" s="65" t="s">
        <v>374</v>
      </c>
      <c r="P32" s="65" t="s">
        <v>374</v>
      </c>
    </row>
    <row r="33" spans="1:16" ht="15.75" customHeight="1">
      <c r="A33" s="116" t="s">
        <v>131</v>
      </c>
      <c r="B33" s="26">
        <f t="shared" si="0"/>
        <v>209</v>
      </c>
      <c r="C33" s="117" t="s">
        <v>374</v>
      </c>
      <c r="D33" s="117" t="s">
        <v>374</v>
      </c>
      <c r="E33" s="117" t="s">
        <v>374</v>
      </c>
      <c r="F33" s="117" t="s">
        <v>374</v>
      </c>
      <c r="G33" s="117" t="s">
        <v>374</v>
      </c>
      <c r="H33" s="117" t="s">
        <v>374</v>
      </c>
      <c r="I33" s="24">
        <f>'c-20'!C38</f>
        <v>209</v>
      </c>
      <c r="J33" s="117" t="s">
        <v>374</v>
      </c>
      <c r="K33" s="117" t="s">
        <v>374</v>
      </c>
      <c r="L33" s="117" t="s">
        <v>374</v>
      </c>
      <c r="M33" s="117" t="s">
        <v>374</v>
      </c>
      <c r="N33" s="118" t="s">
        <v>374</v>
      </c>
      <c r="O33" s="65" t="s">
        <v>374</v>
      </c>
      <c r="P33" s="65" t="s">
        <v>374</v>
      </c>
    </row>
    <row r="34" spans="1:16" ht="15.75" customHeight="1">
      <c r="A34" s="116" t="s">
        <v>570</v>
      </c>
      <c r="B34" s="26">
        <f t="shared" si="0"/>
        <v>311</v>
      </c>
      <c r="C34" s="117" t="s">
        <v>374</v>
      </c>
      <c r="D34" s="117" t="s">
        <v>374</v>
      </c>
      <c r="E34" s="117" t="s">
        <v>374</v>
      </c>
      <c r="F34" s="117" t="s">
        <v>374</v>
      </c>
      <c r="G34" s="117" t="s">
        <v>374</v>
      </c>
      <c r="H34" s="117" t="s">
        <v>374</v>
      </c>
      <c r="I34" s="24">
        <f>'c-20'!C39</f>
        <v>311</v>
      </c>
      <c r="J34" s="117" t="s">
        <v>374</v>
      </c>
      <c r="K34" s="117" t="s">
        <v>374</v>
      </c>
      <c r="L34" s="117" t="s">
        <v>374</v>
      </c>
      <c r="M34" s="117" t="s">
        <v>374</v>
      </c>
      <c r="N34" s="118" t="s">
        <v>374</v>
      </c>
      <c r="O34" s="65" t="s">
        <v>374</v>
      </c>
      <c r="P34" s="65" t="s">
        <v>374</v>
      </c>
    </row>
    <row r="35" spans="1:16" ht="15.75" customHeight="1">
      <c r="A35" s="116" t="s">
        <v>571</v>
      </c>
      <c r="B35" s="26">
        <f t="shared" si="0"/>
        <v>917</v>
      </c>
      <c r="C35" s="117" t="s">
        <v>374</v>
      </c>
      <c r="D35" s="117" t="s">
        <v>374</v>
      </c>
      <c r="E35" s="117" t="s">
        <v>374</v>
      </c>
      <c r="F35" s="117" t="s">
        <v>374</v>
      </c>
      <c r="G35" s="117" t="s">
        <v>374</v>
      </c>
      <c r="H35" s="117" t="s">
        <v>374</v>
      </c>
      <c r="I35" s="24">
        <f>'c-20'!C42</f>
        <v>917</v>
      </c>
      <c r="J35" s="117" t="s">
        <v>374</v>
      </c>
      <c r="K35" s="117" t="s">
        <v>374</v>
      </c>
      <c r="L35" s="117" t="s">
        <v>374</v>
      </c>
      <c r="M35" s="117" t="s">
        <v>374</v>
      </c>
      <c r="N35" s="118" t="s">
        <v>374</v>
      </c>
      <c r="O35" s="65" t="s">
        <v>374</v>
      </c>
      <c r="P35" s="65" t="s">
        <v>374</v>
      </c>
    </row>
    <row r="36" spans="1:16" ht="15.75" customHeight="1">
      <c r="A36" s="116" t="s">
        <v>122</v>
      </c>
      <c r="B36" s="26">
        <f t="shared" si="0"/>
        <v>722</v>
      </c>
      <c r="C36" s="117" t="s">
        <v>374</v>
      </c>
      <c r="D36" s="117" t="s">
        <v>374</v>
      </c>
      <c r="E36" s="117" t="s">
        <v>374</v>
      </c>
      <c r="F36" s="117" t="s">
        <v>374</v>
      </c>
      <c r="G36" s="117" t="s">
        <v>374</v>
      </c>
      <c r="H36" s="117" t="s">
        <v>374</v>
      </c>
      <c r="I36" s="24">
        <f>'c-20'!C43</f>
        <v>722</v>
      </c>
      <c r="J36" s="117" t="s">
        <v>374</v>
      </c>
      <c r="K36" s="117" t="s">
        <v>374</v>
      </c>
      <c r="L36" s="117" t="s">
        <v>374</v>
      </c>
      <c r="M36" s="117" t="s">
        <v>374</v>
      </c>
      <c r="N36" s="118" t="s">
        <v>374</v>
      </c>
      <c r="O36" s="65" t="s">
        <v>374</v>
      </c>
      <c r="P36" s="65" t="s">
        <v>374</v>
      </c>
    </row>
    <row r="37" spans="1:16" ht="15.75" customHeight="1">
      <c r="A37" s="116" t="s">
        <v>572</v>
      </c>
      <c r="B37" s="26">
        <f t="shared" si="0"/>
        <v>203</v>
      </c>
      <c r="C37" s="117" t="s">
        <v>374</v>
      </c>
      <c r="D37" s="117" t="s">
        <v>374</v>
      </c>
      <c r="E37" s="117" t="s">
        <v>374</v>
      </c>
      <c r="F37" s="117" t="s">
        <v>374</v>
      </c>
      <c r="G37" s="117" t="s">
        <v>374</v>
      </c>
      <c r="H37" s="117" t="s">
        <v>374</v>
      </c>
      <c r="I37" s="24">
        <f>'c-20'!C44</f>
        <v>203</v>
      </c>
      <c r="J37" s="117" t="s">
        <v>374</v>
      </c>
      <c r="K37" s="117" t="s">
        <v>374</v>
      </c>
      <c r="L37" s="117" t="s">
        <v>374</v>
      </c>
      <c r="M37" s="117" t="s">
        <v>374</v>
      </c>
      <c r="N37" s="118" t="s">
        <v>374</v>
      </c>
      <c r="O37" s="65" t="s">
        <v>374</v>
      </c>
      <c r="P37" s="65" t="s">
        <v>374</v>
      </c>
    </row>
    <row r="38" spans="1:16" ht="15.75" customHeight="1">
      <c r="A38" s="116" t="s">
        <v>573</v>
      </c>
      <c r="B38" s="26">
        <f t="shared" si="0"/>
        <v>689</v>
      </c>
      <c r="C38" s="117" t="s">
        <v>374</v>
      </c>
      <c r="D38" s="117" t="s">
        <v>374</v>
      </c>
      <c r="E38" s="117" t="s">
        <v>374</v>
      </c>
      <c r="F38" s="117" t="s">
        <v>374</v>
      </c>
      <c r="G38" s="117" t="s">
        <v>374</v>
      </c>
      <c r="H38" s="117" t="s">
        <v>374</v>
      </c>
      <c r="I38" s="24">
        <f>'c-20'!C47</f>
        <v>689</v>
      </c>
      <c r="J38" s="117" t="s">
        <v>374</v>
      </c>
      <c r="K38" s="117" t="s">
        <v>374</v>
      </c>
      <c r="L38" s="117" t="s">
        <v>374</v>
      </c>
      <c r="M38" s="117" t="s">
        <v>374</v>
      </c>
      <c r="N38" s="118" t="s">
        <v>374</v>
      </c>
      <c r="O38" s="65" t="s">
        <v>374</v>
      </c>
      <c r="P38" s="65" t="s">
        <v>374</v>
      </c>
    </row>
    <row r="39" spans="1:16" ht="15.75" customHeight="1">
      <c r="A39" s="116" t="s">
        <v>574</v>
      </c>
      <c r="B39" s="26">
        <f t="shared" si="0"/>
        <v>462</v>
      </c>
      <c r="C39" s="117" t="s">
        <v>374</v>
      </c>
      <c r="D39" s="117" t="s">
        <v>374</v>
      </c>
      <c r="E39" s="117" t="s">
        <v>374</v>
      </c>
      <c r="F39" s="117" t="s">
        <v>374</v>
      </c>
      <c r="G39" s="117" t="s">
        <v>374</v>
      </c>
      <c r="H39" s="117" t="s">
        <v>374</v>
      </c>
      <c r="I39" s="24">
        <f>'c-20'!C48</f>
        <v>462</v>
      </c>
      <c r="J39" s="117" t="s">
        <v>374</v>
      </c>
      <c r="K39" s="117" t="s">
        <v>374</v>
      </c>
      <c r="L39" s="117" t="s">
        <v>374</v>
      </c>
      <c r="M39" s="117" t="s">
        <v>374</v>
      </c>
      <c r="N39" s="118" t="s">
        <v>374</v>
      </c>
      <c r="O39" s="65" t="s">
        <v>374</v>
      </c>
      <c r="P39" s="65" t="s">
        <v>374</v>
      </c>
    </row>
    <row r="40" spans="1:16" ht="15.75" customHeight="1">
      <c r="A40" s="116" t="s">
        <v>575</v>
      </c>
      <c r="B40" s="26">
        <f t="shared" si="0"/>
        <v>215</v>
      </c>
      <c r="C40" s="117" t="s">
        <v>374</v>
      </c>
      <c r="D40" s="117" t="s">
        <v>374</v>
      </c>
      <c r="E40" s="117" t="s">
        <v>374</v>
      </c>
      <c r="F40" s="117" t="s">
        <v>374</v>
      </c>
      <c r="G40" s="117" t="s">
        <v>374</v>
      </c>
      <c r="H40" s="117" t="s">
        <v>374</v>
      </c>
      <c r="I40" s="24">
        <f>'c-20'!C49</f>
        <v>215</v>
      </c>
      <c r="J40" s="117" t="s">
        <v>374</v>
      </c>
      <c r="K40" s="117" t="s">
        <v>374</v>
      </c>
      <c r="L40" s="117" t="s">
        <v>374</v>
      </c>
      <c r="M40" s="117" t="s">
        <v>374</v>
      </c>
      <c r="N40" s="118" t="s">
        <v>374</v>
      </c>
      <c r="O40" s="65" t="s">
        <v>374</v>
      </c>
      <c r="P40" s="65" t="s">
        <v>374</v>
      </c>
    </row>
    <row r="41" spans="1:16" ht="15.75" customHeight="1">
      <c r="A41" s="116" t="s">
        <v>576</v>
      </c>
      <c r="B41" s="26">
        <f t="shared" si="0"/>
        <v>288</v>
      </c>
      <c r="C41" s="117" t="s">
        <v>374</v>
      </c>
      <c r="D41" s="117" t="s">
        <v>374</v>
      </c>
      <c r="E41" s="117" t="s">
        <v>374</v>
      </c>
      <c r="F41" s="117" t="s">
        <v>374</v>
      </c>
      <c r="G41" s="117" t="s">
        <v>374</v>
      </c>
      <c r="H41" s="117" t="s">
        <v>374</v>
      </c>
      <c r="I41" s="24">
        <f>'c-20'!C52</f>
        <v>288</v>
      </c>
      <c r="J41" s="117" t="s">
        <v>374</v>
      </c>
      <c r="K41" s="117" t="s">
        <v>374</v>
      </c>
      <c r="L41" s="117" t="s">
        <v>374</v>
      </c>
      <c r="M41" s="117" t="s">
        <v>374</v>
      </c>
      <c r="N41" s="118" t="s">
        <v>374</v>
      </c>
      <c r="O41" s="65" t="s">
        <v>374</v>
      </c>
      <c r="P41" s="65" t="s">
        <v>374</v>
      </c>
    </row>
    <row r="42" spans="1:16" ht="15.75" customHeight="1">
      <c r="A42" s="116" t="s">
        <v>577</v>
      </c>
      <c r="B42" s="26">
        <f t="shared" si="0"/>
        <v>513</v>
      </c>
      <c r="C42" s="117" t="s">
        <v>374</v>
      </c>
      <c r="D42" s="117" t="s">
        <v>374</v>
      </c>
      <c r="E42" s="117" t="s">
        <v>374</v>
      </c>
      <c r="F42" s="117" t="s">
        <v>374</v>
      </c>
      <c r="G42" s="117" t="s">
        <v>374</v>
      </c>
      <c r="H42" s="117" t="s">
        <v>374</v>
      </c>
      <c r="I42" s="24">
        <f>'c-20'!C53</f>
        <v>513</v>
      </c>
      <c r="J42" s="117" t="s">
        <v>374</v>
      </c>
      <c r="K42" s="117" t="s">
        <v>374</v>
      </c>
      <c r="L42" s="117" t="s">
        <v>374</v>
      </c>
      <c r="M42" s="117" t="s">
        <v>374</v>
      </c>
      <c r="N42" s="118" t="s">
        <v>374</v>
      </c>
      <c r="O42" s="65" t="s">
        <v>374</v>
      </c>
      <c r="P42" s="65" t="s">
        <v>374</v>
      </c>
    </row>
    <row r="43" spans="1:16" ht="15.75" customHeight="1">
      <c r="A43" s="116" t="s">
        <v>578</v>
      </c>
      <c r="B43" s="26">
        <f t="shared" si="0"/>
        <v>506</v>
      </c>
      <c r="C43" s="117" t="s">
        <v>374</v>
      </c>
      <c r="D43" s="117" t="s">
        <v>374</v>
      </c>
      <c r="E43" s="117" t="s">
        <v>374</v>
      </c>
      <c r="F43" s="117" t="s">
        <v>374</v>
      </c>
      <c r="G43" s="117" t="s">
        <v>374</v>
      </c>
      <c r="H43" s="117" t="s">
        <v>374</v>
      </c>
      <c r="I43" s="24">
        <f>'c-20'!C54</f>
        <v>506</v>
      </c>
      <c r="J43" s="117" t="s">
        <v>374</v>
      </c>
      <c r="K43" s="117" t="s">
        <v>374</v>
      </c>
      <c r="L43" s="117" t="s">
        <v>374</v>
      </c>
      <c r="M43" s="117" t="s">
        <v>374</v>
      </c>
      <c r="N43" s="118" t="s">
        <v>374</v>
      </c>
      <c r="O43" s="65" t="s">
        <v>374</v>
      </c>
      <c r="P43" s="65" t="s">
        <v>374</v>
      </c>
    </row>
    <row r="44" spans="1:16" ht="15.75" customHeight="1">
      <c r="A44" s="119" t="s">
        <v>579</v>
      </c>
      <c r="B44" s="26">
        <f t="shared" si="0"/>
        <v>619</v>
      </c>
      <c r="C44" s="117" t="s">
        <v>374</v>
      </c>
      <c r="D44" s="117" t="s">
        <v>374</v>
      </c>
      <c r="E44" s="117" t="s">
        <v>374</v>
      </c>
      <c r="F44" s="117" t="s">
        <v>374</v>
      </c>
      <c r="G44" s="117" t="s">
        <v>374</v>
      </c>
      <c r="H44" s="117" t="s">
        <v>374</v>
      </c>
      <c r="I44" s="24">
        <f>'c-20'!C57</f>
        <v>619</v>
      </c>
      <c r="J44" s="117" t="s">
        <v>374</v>
      </c>
      <c r="K44" s="117" t="s">
        <v>374</v>
      </c>
      <c r="L44" s="117" t="s">
        <v>374</v>
      </c>
      <c r="M44" s="117" t="s">
        <v>374</v>
      </c>
      <c r="N44" s="118" t="s">
        <v>374</v>
      </c>
      <c r="O44" s="65" t="s">
        <v>374</v>
      </c>
      <c r="P44" s="65" t="s">
        <v>374</v>
      </c>
    </row>
    <row r="45" spans="1:16" ht="15.75" customHeight="1">
      <c r="A45" s="119" t="s">
        <v>880</v>
      </c>
      <c r="B45" s="26">
        <f t="shared" si="0"/>
        <v>450</v>
      </c>
      <c r="C45" s="117" t="s">
        <v>374</v>
      </c>
      <c r="D45" s="117" t="s">
        <v>374</v>
      </c>
      <c r="E45" s="117" t="s">
        <v>374</v>
      </c>
      <c r="F45" s="117" t="s">
        <v>374</v>
      </c>
      <c r="G45" s="117" t="s">
        <v>374</v>
      </c>
      <c r="H45" s="117" t="s">
        <v>374</v>
      </c>
      <c r="I45" s="24">
        <f>'c-20'!C58</f>
        <v>450</v>
      </c>
      <c r="J45" s="117" t="s">
        <v>374</v>
      </c>
      <c r="K45" s="117" t="s">
        <v>374</v>
      </c>
      <c r="L45" s="117" t="s">
        <v>374</v>
      </c>
      <c r="M45" s="117" t="s">
        <v>374</v>
      </c>
      <c r="N45" s="118" t="s">
        <v>374</v>
      </c>
      <c r="O45" s="65" t="s">
        <v>374</v>
      </c>
      <c r="P45" s="65" t="s">
        <v>374</v>
      </c>
    </row>
    <row r="46" spans="1:16" ht="15.75" customHeight="1">
      <c r="A46" s="119" t="s">
        <v>580</v>
      </c>
      <c r="B46" s="26">
        <f t="shared" si="0"/>
        <v>109</v>
      </c>
      <c r="C46" s="117" t="s">
        <v>374</v>
      </c>
      <c r="D46" s="117" t="s">
        <v>374</v>
      </c>
      <c r="E46" s="117" t="s">
        <v>374</v>
      </c>
      <c r="F46" s="117" t="s">
        <v>374</v>
      </c>
      <c r="G46" s="117" t="s">
        <v>374</v>
      </c>
      <c r="H46" s="117" t="s">
        <v>374</v>
      </c>
      <c r="I46" s="24">
        <f>'c-20'!C59</f>
        <v>109</v>
      </c>
      <c r="J46" s="117" t="s">
        <v>374</v>
      </c>
      <c r="K46" s="117" t="s">
        <v>374</v>
      </c>
      <c r="L46" s="117" t="s">
        <v>374</v>
      </c>
      <c r="M46" s="117" t="s">
        <v>374</v>
      </c>
      <c r="N46" s="118" t="s">
        <v>374</v>
      </c>
      <c r="O46" s="65" t="s">
        <v>374</v>
      </c>
      <c r="P46" s="65" t="s">
        <v>374</v>
      </c>
    </row>
    <row r="47" spans="1:16" ht="15.75" customHeight="1">
      <c r="A47" s="119" t="s">
        <v>581</v>
      </c>
      <c r="B47" s="26">
        <f t="shared" si="0"/>
        <v>246</v>
      </c>
      <c r="C47" s="117" t="s">
        <v>374</v>
      </c>
      <c r="D47" s="117" t="s">
        <v>374</v>
      </c>
      <c r="E47" s="117" t="s">
        <v>374</v>
      </c>
      <c r="F47" s="117" t="s">
        <v>374</v>
      </c>
      <c r="G47" s="117" t="s">
        <v>374</v>
      </c>
      <c r="H47" s="117" t="s">
        <v>374</v>
      </c>
      <c r="I47" s="24">
        <f>'c-20'!C66</f>
        <v>246</v>
      </c>
      <c r="J47" s="117" t="s">
        <v>374</v>
      </c>
      <c r="K47" s="117" t="s">
        <v>374</v>
      </c>
      <c r="L47" s="117" t="s">
        <v>374</v>
      </c>
      <c r="M47" s="117" t="s">
        <v>374</v>
      </c>
      <c r="N47" s="118" t="s">
        <v>374</v>
      </c>
      <c r="O47" s="65" t="s">
        <v>374</v>
      </c>
      <c r="P47" s="65" t="s">
        <v>374</v>
      </c>
    </row>
    <row r="48" spans="1:16" ht="15.75" customHeight="1">
      <c r="A48" s="119" t="s">
        <v>582</v>
      </c>
      <c r="B48" s="26">
        <f t="shared" si="0"/>
        <v>219</v>
      </c>
      <c r="C48" s="117" t="s">
        <v>374</v>
      </c>
      <c r="D48" s="117" t="s">
        <v>374</v>
      </c>
      <c r="E48" s="117" t="s">
        <v>374</v>
      </c>
      <c r="F48" s="117" t="s">
        <v>374</v>
      </c>
      <c r="G48" s="117" t="s">
        <v>374</v>
      </c>
      <c r="H48" s="117" t="s">
        <v>374</v>
      </c>
      <c r="I48" s="24">
        <f>'c-20'!C67</f>
        <v>219</v>
      </c>
      <c r="J48" s="64" t="s">
        <v>374</v>
      </c>
      <c r="K48" s="117" t="s">
        <v>374</v>
      </c>
      <c r="L48" s="117" t="s">
        <v>374</v>
      </c>
      <c r="M48" s="117" t="s">
        <v>374</v>
      </c>
      <c r="N48" s="118" t="s">
        <v>374</v>
      </c>
      <c r="O48" s="65" t="s">
        <v>374</v>
      </c>
      <c r="P48" s="65" t="s">
        <v>374</v>
      </c>
    </row>
    <row r="49" spans="1:16" ht="15.75" customHeight="1">
      <c r="A49" s="119" t="s">
        <v>583</v>
      </c>
      <c r="B49" s="26">
        <f t="shared" si="0"/>
        <v>273</v>
      </c>
      <c r="C49" s="117" t="s">
        <v>374</v>
      </c>
      <c r="D49" s="117" t="s">
        <v>374</v>
      </c>
      <c r="E49" s="117" t="s">
        <v>374</v>
      </c>
      <c r="F49" s="117" t="s">
        <v>374</v>
      </c>
      <c r="G49" s="117" t="s">
        <v>374</v>
      </c>
      <c r="H49" s="117" t="s">
        <v>374</v>
      </c>
      <c r="I49" s="24">
        <f>'c-20'!C68</f>
        <v>273</v>
      </c>
      <c r="J49" s="64" t="s">
        <v>374</v>
      </c>
      <c r="K49" s="117" t="s">
        <v>374</v>
      </c>
      <c r="L49" s="117" t="s">
        <v>374</v>
      </c>
      <c r="M49" s="117" t="s">
        <v>374</v>
      </c>
      <c r="N49" s="118" t="s">
        <v>374</v>
      </c>
      <c r="O49" s="65" t="s">
        <v>374</v>
      </c>
      <c r="P49" s="65" t="s">
        <v>374</v>
      </c>
    </row>
    <row r="50" spans="1:16" ht="15.75" customHeight="1">
      <c r="A50" s="119" t="s">
        <v>584</v>
      </c>
      <c r="B50" s="26">
        <f t="shared" si="0"/>
        <v>187</v>
      </c>
      <c r="C50" s="117" t="s">
        <v>374</v>
      </c>
      <c r="D50" s="117" t="s">
        <v>374</v>
      </c>
      <c r="E50" s="117" t="s">
        <v>374</v>
      </c>
      <c r="F50" s="117" t="s">
        <v>374</v>
      </c>
      <c r="G50" s="117" t="s">
        <v>374</v>
      </c>
      <c r="H50" s="117" t="s">
        <v>374</v>
      </c>
      <c r="I50" s="24">
        <f>'c-20'!C69</f>
        <v>187</v>
      </c>
      <c r="J50" s="117" t="s">
        <v>374</v>
      </c>
      <c r="K50" s="117" t="s">
        <v>374</v>
      </c>
      <c r="L50" s="117" t="s">
        <v>374</v>
      </c>
      <c r="M50" s="117" t="s">
        <v>374</v>
      </c>
      <c r="N50" s="118" t="s">
        <v>374</v>
      </c>
      <c r="O50" s="65" t="s">
        <v>374</v>
      </c>
      <c r="P50" s="65" t="s">
        <v>374</v>
      </c>
    </row>
    <row r="51" spans="1:16" ht="15.75" customHeight="1">
      <c r="A51" s="116" t="s">
        <v>881</v>
      </c>
      <c r="B51" s="26">
        <f t="shared" si="0"/>
        <v>1240</v>
      </c>
      <c r="C51" s="117" t="s">
        <v>374</v>
      </c>
      <c r="D51" s="117" t="s">
        <v>374</v>
      </c>
      <c r="E51" s="117" t="s">
        <v>374</v>
      </c>
      <c r="F51" s="117" t="s">
        <v>374</v>
      </c>
      <c r="G51" s="117" t="s">
        <v>374</v>
      </c>
      <c r="H51" s="118" t="s">
        <v>374</v>
      </c>
      <c r="I51" s="24">
        <f>'c-20'!C72</f>
        <v>1240</v>
      </c>
      <c r="J51" s="64" t="s">
        <v>374</v>
      </c>
      <c r="K51" s="117" t="s">
        <v>374</v>
      </c>
      <c r="L51" s="117" t="s">
        <v>374</v>
      </c>
      <c r="M51" s="117" t="s">
        <v>374</v>
      </c>
      <c r="N51" s="118" t="s">
        <v>374</v>
      </c>
      <c r="O51" s="65" t="s">
        <v>374</v>
      </c>
      <c r="P51" s="65" t="s">
        <v>374</v>
      </c>
    </row>
    <row r="52" spans="1:16" ht="15.75" customHeight="1">
      <c r="A52" s="116" t="s">
        <v>882</v>
      </c>
      <c r="B52" s="26">
        <f t="shared" si="0"/>
        <v>321</v>
      </c>
      <c r="C52" s="117" t="s">
        <v>374</v>
      </c>
      <c r="D52" s="117" t="s">
        <v>374</v>
      </c>
      <c r="E52" s="117" t="s">
        <v>374</v>
      </c>
      <c r="F52" s="117" t="s">
        <v>374</v>
      </c>
      <c r="G52" s="117" t="s">
        <v>374</v>
      </c>
      <c r="H52" s="64" t="s">
        <v>374</v>
      </c>
      <c r="I52" s="24">
        <f>'c-20'!C73</f>
        <v>321</v>
      </c>
      <c r="J52" s="64" t="s">
        <v>374</v>
      </c>
      <c r="K52" s="117" t="s">
        <v>374</v>
      </c>
      <c r="L52" s="117" t="s">
        <v>374</v>
      </c>
      <c r="M52" s="117" t="s">
        <v>374</v>
      </c>
      <c r="N52" s="118" t="s">
        <v>374</v>
      </c>
      <c r="O52" s="65" t="s">
        <v>374</v>
      </c>
      <c r="P52" s="65" t="s">
        <v>374</v>
      </c>
    </row>
    <row r="53" spans="1:16" ht="15.75" customHeight="1">
      <c r="A53" s="116" t="s">
        <v>883</v>
      </c>
      <c r="B53" s="26">
        <f t="shared" si="0"/>
        <v>595</v>
      </c>
      <c r="C53" s="117" t="s">
        <v>374</v>
      </c>
      <c r="D53" s="117" t="s">
        <v>374</v>
      </c>
      <c r="E53" s="117" t="s">
        <v>374</v>
      </c>
      <c r="F53" s="117" t="s">
        <v>374</v>
      </c>
      <c r="G53" s="117" t="s">
        <v>374</v>
      </c>
      <c r="H53" s="64" t="s">
        <v>374</v>
      </c>
      <c r="I53" s="121">
        <f>'c-20'!C76</f>
        <v>595</v>
      </c>
      <c r="J53" s="64" t="s">
        <v>374</v>
      </c>
      <c r="K53" s="117" t="s">
        <v>374</v>
      </c>
      <c r="L53" s="117" t="s">
        <v>374</v>
      </c>
      <c r="M53" s="117" t="s">
        <v>374</v>
      </c>
      <c r="N53" s="118" t="s">
        <v>374</v>
      </c>
      <c r="O53" s="65" t="s">
        <v>374</v>
      </c>
      <c r="P53" s="65" t="s">
        <v>374</v>
      </c>
    </row>
    <row r="54" spans="1:16" ht="15.75" customHeight="1">
      <c r="A54" s="116" t="s">
        <v>585</v>
      </c>
      <c r="B54" s="26">
        <f t="shared" si="0"/>
        <v>572</v>
      </c>
      <c r="C54" s="117" t="s">
        <v>374</v>
      </c>
      <c r="D54" s="117" t="s">
        <v>374</v>
      </c>
      <c r="E54" s="117" t="s">
        <v>374</v>
      </c>
      <c r="F54" s="117" t="s">
        <v>374</v>
      </c>
      <c r="G54" s="117" t="s">
        <v>374</v>
      </c>
      <c r="H54" s="64" t="s">
        <v>374</v>
      </c>
      <c r="I54" s="121">
        <f>'c-20'!C77</f>
        <v>572</v>
      </c>
      <c r="J54" s="64" t="s">
        <v>374</v>
      </c>
      <c r="K54" s="117" t="s">
        <v>374</v>
      </c>
      <c r="L54" s="117" t="s">
        <v>374</v>
      </c>
      <c r="M54" s="117" t="s">
        <v>374</v>
      </c>
      <c r="N54" s="118" t="s">
        <v>374</v>
      </c>
      <c r="O54" s="65" t="s">
        <v>374</v>
      </c>
      <c r="P54" s="65" t="s">
        <v>374</v>
      </c>
    </row>
    <row r="55" spans="1:16" ht="15.75" customHeight="1">
      <c r="A55" s="116" t="s">
        <v>884</v>
      </c>
      <c r="B55" s="26">
        <f t="shared" si="0"/>
        <v>150</v>
      </c>
      <c r="C55" s="117" t="s">
        <v>374</v>
      </c>
      <c r="D55" s="117" t="s">
        <v>374</v>
      </c>
      <c r="E55" s="117" t="s">
        <v>374</v>
      </c>
      <c r="F55" s="117" t="s">
        <v>374</v>
      </c>
      <c r="G55" s="117" t="s">
        <v>374</v>
      </c>
      <c r="H55" s="64" t="s">
        <v>374</v>
      </c>
      <c r="I55" s="121">
        <f>'c-20'!C78</f>
        <v>150</v>
      </c>
      <c r="J55" s="64" t="s">
        <v>374</v>
      </c>
      <c r="K55" s="117" t="s">
        <v>374</v>
      </c>
      <c r="L55" s="117" t="s">
        <v>374</v>
      </c>
      <c r="M55" s="117" t="s">
        <v>374</v>
      </c>
      <c r="N55" s="118" t="s">
        <v>374</v>
      </c>
      <c r="O55" s="65" t="s">
        <v>374</v>
      </c>
      <c r="P55" s="65" t="s">
        <v>374</v>
      </c>
    </row>
    <row r="56" spans="1:16" ht="15.75" customHeight="1">
      <c r="A56" s="113"/>
      <c r="B56" s="26"/>
      <c r="C56" s="51"/>
      <c r="D56" s="51"/>
      <c r="E56" s="51"/>
      <c r="F56" s="51"/>
      <c r="G56" s="51"/>
      <c r="H56" s="26"/>
      <c r="I56" s="51"/>
      <c r="J56" s="117"/>
      <c r="K56" s="117"/>
      <c r="L56" s="117"/>
      <c r="M56" s="117"/>
      <c r="N56" s="118"/>
      <c r="O56" s="19"/>
      <c r="P56" s="19"/>
    </row>
    <row r="57" spans="1:16" s="91" customFormat="1" ht="15.75" customHeight="1">
      <c r="A57" s="106" t="s">
        <v>586</v>
      </c>
      <c r="B57" s="107"/>
      <c r="C57" s="114"/>
      <c r="D57" s="114"/>
      <c r="E57" s="114"/>
      <c r="F57" s="114"/>
      <c r="G57" s="114"/>
      <c r="H57" s="107"/>
      <c r="I57" s="114"/>
      <c r="J57" s="114"/>
      <c r="K57" s="114"/>
      <c r="L57" s="117"/>
      <c r="M57" s="114"/>
      <c r="N57" s="115"/>
      <c r="O57" s="19"/>
      <c r="P57" s="19"/>
    </row>
    <row r="58" spans="1:16" s="91" customFormat="1" ht="15.75" customHeight="1">
      <c r="A58" s="106"/>
      <c r="B58" s="107"/>
      <c r="C58" s="114"/>
      <c r="D58" s="114"/>
      <c r="E58" s="114"/>
      <c r="F58" s="114"/>
      <c r="G58" s="114"/>
      <c r="H58" s="107"/>
      <c r="I58" s="114"/>
      <c r="J58" s="114"/>
      <c r="K58" s="114"/>
      <c r="L58" s="117"/>
      <c r="M58" s="114"/>
      <c r="N58" s="115"/>
      <c r="O58" s="19"/>
      <c r="P58" s="19"/>
    </row>
    <row r="59" spans="1:16" s="91" customFormat="1" ht="15.75" customHeight="1">
      <c r="A59" s="106" t="s">
        <v>587</v>
      </c>
      <c r="B59" s="97">
        <f>SUM(B61:B72)</f>
        <v>5396</v>
      </c>
      <c r="C59" s="97">
        <f>SUM(C61:C72)</f>
        <v>5297</v>
      </c>
      <c r="D59" s="97" t="s">
        <v>374</v>
      </c>
      <c r="E59" s="97" t="s">
        <v>374</v>
      </c>
      <c r="F59" s="97" t="s">
        <v>374</v>
      </c>
      <c r="G59" s="97">
        <f>SUM(G61:G72)</f>
        <v>99</v>
      </c>
      <c r="H59" s="62" t="s">
        <v>374</v>
      </c>
      <c r="I59" s="97" t="s">
        <v>374</v>
      </c>
      <c r="J59" s="97" t="s">
        <v>374</v>
      </c>
      <c r="K59" s="97" t="s">
        <v>374</v>
      </c>
      <c r="L59" s="97" t="s">
        <v>374</v>
      </c>
      <c r="M59" s="97" t="s">
        <v>374</v>
      </c>
      <c r="N59" s="98" t="s">
        <v>374</v>
      </c>
      <c r="O59" s="112" t="s">
        <v>374</v>
      </c>
      <c r="P59" s="112" t="s">
        <v>374</v>
      </c>
    </row>
    <row r="60" spans="1:16" ht="15.75" customHeight="1">
      <c r="A60" s="120"/>
      <c r="B60" s="64"/>
      <c r="C60" s="117"/>
      <c r="D60" s="118"/>
      <c r="E60" s="26"/>
      <c r="F60" s="51"/>
      <c r="G60" s="51"/>
      <c r="H60" s="51"/>
      <c r="I60" s="51"/>
      <c r="J60" s="51"/>
      <c r="K60" s="51"/>
      <c r="L60" s="117"/>
      <c r="M60" s="51"/>
      <c r="N60" s="118"/>
      <c r="O60" s="65"/>
      <c r="P60" s="65"/>
    </row>
    <row r="61" spans="1:16" ht="15.75" customHeight="1">
      <c r="A61" s="120" t="s">
        <v>465</v>
      </c>
      <c r="B61" s="26">
        <f t="shared" ref="B61:B72" si="1">SUM(C61:P61)</f>
        <v>402</v>
      </c>
      <c r="C61" s="117">
        <f>'c-10'!C12</f>
        <v>402</v>
      </c>
      <c r="D61" s="141" t="s">
        <v>374</v>
      </c>
      <c r="E61" s="64" t="s">
        <v>374</v>
      </c>
      <c r="F61" s="117" t="s">
        <v>374</v>
      </c>
      <c r="G61" s="117" t="s">
        <v>374</v>
      </c>
      <c r="H61" s="117" t="s">
        <v>374</v>
      </c>
      <c r="I61" s="117" t="s">
        <v>374</v>
      </c>
      <c r="J61" s="117" t="s">
        <v>374</v>
      </c>
      <c r="K61" s="117" t="s">
        <v>374</v>
      </c>
      <c r="L61" s="117" t="s">
        <v>374</v>
      </c>
      <c r="M61" s="117" t="s">
        <v>374</v>
      </c>
      <c r="N61" s="118" t="s">
        <v>374</v>
      </c>
      <c r="O61" s="65" t="s">
        <v>374</v>
      </c>
      <c r="P61" s="65" t="s">
        <v>374</v>
      </c>
    </row>
    <row r="62" spans="1:16" ht="15.75" customHeight="1">
      <c r="A62" s="120" t="s">
        <v>445</v>
      </c>
      <c r="B62" s="26">
        <f t="shared" si="1"/>
        <v>404</v>
      </c>
      <c r="C62" s="117">
        <f>'c-10'!C13</f>
        <v>404</v>
      </c>
      <c r="D62" s="141" t="s">
        <v>374</v>
      </c>
      <c r="E62" s="64" t="s">
        <v>374</v>
      </c>
      <c r="F62" s="117" t="s">
        <v>374</v>
      </c>
      <c r="G62" s="117" t="s">
        <v>374</v>
      </c>
      <c r="H62" s="117" t="s">
        <v>374</v>
      </c>
      <c r="I62" s="117" t="s">
        <v>374</v>
      </c>
      <c r="J62" s="117" t="s">
        <v>374</v>
      </c>
      <c r="K62" s="117" t="s">
        <v>374</v>
      </c>
      <c r="L62" s="117" t="s">
        <v>374</v>
      </c>
      <c r="M62" s="117" t="s">
        <v>374</v>
      </c>
      <c r="N62" s="118" t="s">
        <v>374</v>
      </c>
      <c r="O62" s="65" t="s">
        <v>374</v>
      </c>
      <c r="P62" s="65" t="s">
        <v>374</v>
      </c>
    </row>
    <row r="63" spans="1:16" ht="15.75" customHeight="1">
      <c r="A63" s="120" t="s">
        <v>446</v>
      </c>
      <c r="B63" s="26">
        <f t="shared" si="1"/>
        <v>427</v>
      </c>
      <c r="C63" s="117">
        <f>'c-10'!C14</f>
        <v>427</v>
      </c>
      <c r="D63" s="141" t="s">
        <v>374</v>
      </c>
      <c r="E63" s="64" t="s">
        <v>374</v>
      </c>
      <c r="F63" s="117" t="s">
        <v>374</v>
      </c>
      <c r="G63" s="117" t="s">
        <v>374</v>
      </c>
      <c r="H63" s="117" t="s">
        <v>374</v>
      </c>
      <c r="I63" s="117" t="s">
        <v>374</v>
      </c>
      <c r="J63" s="117" t="s">
        <v>374</v>
      </c>
      <c r="K63" s="117" t="s">
        <v>374</v>
      </c>
      <c r="L63" s="117" t="s">
        <v>374</v>
      </c>
      <c r="M63" s="117" t="s">
        <v>374</v>
      </c>
      <c r="N63" s="118" t="s">
        <v>374</v>
      </c>
      <c r="O63" s="65" t="s">
        <v>374</v>
      </c>
      <c r="P63" s="65" t="s">
        <v>374</v>
      </c>
    </row>
    <row r="64" spans="1:16" ht="15.75" customHeight="1">
      <c r="A64" s="120" t="s">
        <v>447</v>
      </c>
      <c r="B64" s="26">
        <f t="shared" si="1"/>
        <v>390</v>
      </c>
      <c r="C64" s="117">
        <f>'c-10'!C15</f>
        <v>390</v>
      </c>
      <c r="D64" s="141" t="s">
        <v>374</v>
      </c>
      <c r="E64" s="64" t="s">
        <v>374</v>
      </c>
      <c r="F64" s="117" t="s">
        <v>374</v>
      </c>
      <c r="G64" s="117" t="s">
        <v>374</v>
      </c>
      <c r="H64" s="117" t="s">
        <v>374</v>
      </c>
      <c r="I64" s="117" t="s">
        <v>374</v>
      </c>
      <c r="J64" s="117" t="s">
        <v>374</v>
      </c>
      <c r="K64" s="117" t="s">
        <v>374</v>
      </c>
      <c r="L64" s="117" t="s">
        <v>374</v>
      </c>
      <c r="M64" s="117" t="s">
        <v>374</v>
      </c>
      <c r="N64" s="118" t="s">
        <v>374</v>
      </c>
      <c r="O64" s="65" t="s">
        <v>374</v>
      </c>
      <c r="P64" s="65" t="s">
        <v>374</v>
      </c>
    </row>
    <row r="65" spans="1:20" ht="15.75" customHeight="1">
      <c r="A65" s="120" t="s">
        <v>448</v>
      </c>
      <c r="B65" s="26">
        <f t="shared" si="1"/>
        <v>815</v>
      </c>
      <c r="C65" s="24">
        <f>'c-10'!C28</f>
        <v>815</v>
      </c>
      <c r="D65" s="141" t="s">
        <v>374</v>
      </c>
      <c r="E65" s="64" t="s">
        <v>374</v>
      </c>
      <c r="F65" s="117" t="s">
        <v>374</v>
      </c>
      <c r="G65" s="24" t="s">
        <v>374</v>
      </c>
      <c r="H65" s="117" t="s">
        <v>374</v>
      </c>
      <c r="I65" s="117" t="s">
        <v>374</v>
      </c>
      <c r="J65" s="117" t="s">
        <v>374</v>
      </c>
      <c r="K65" s="117" t="s">
        <v>374</v>
      </c>
      <c r="L65" s="117" t="s">
        <v>374</v>
      </c>
      <c r="M65" s="117" t="s">
        <v>374</v>
      </c>
      <c r="N65" s="118" t="s">
        <v>374</v>
      </c>
      <c r="O65" s="65" t="s">
        <v>374</v>
      </c>
      <c r="P65" s="65" t="s">
        <v>374</v>
      </c>
    </row>
    <row r="66" spans="1:20" ht="15.75" customHeight="1">
      <c r="A66" s="120" t="s">
        <v>449</v>
      </c>
      <c r="B66" s="26">
        <f t="shared" si="1"/>
        <v>54</v>
      </c>
      <c r="C66" s="24">
        <f>'c-10'!C17</f>
        <v>54</v>
      </c>
      <c r="D66" s="141" t="s">
        <v>374</v>
      </c>
      <c r="E66" s="64" t="s">
        <v>374</v>
      </c>
      <c r="F66" s="117" t="s">
        <v>374</v>
      </c>
      <c r="G66" s="117" t="s">
        <v>374</v>
      </c>
      <c r="H66" s="117" t="s">
        <v>374</v>
      </c>
      <c r="I66" s="117" t="s">
        <v>374</v>
      </c>
      <c r="J66" s="117" t="s">
        <v>374</v>
      </c>
      <c r="K66" s="117" t="s">
        <v>374</v>
      </c>
      <c r="L66" s="117" t="s">
        <v>374</v>
      </c>
      <c r="M66" s="117" t="s">
        <v>374</v>
      </c>
      <c r="N66" s="118" t="s">
        <v>374</v>
      </c>
      <c r="O66" s="65" t="s">
        <v>374</v>
      </c>
      <c r="P66" s="65" t="s">
        <v>374</v>
      </c>
    </row>
    <row r="67" spans="1:20" ht="15.75" customHeight="1">
      <c r="A67" s="120" t="s">
        <v>450</v>
      </c>
      <c r="B67" s="26">
        <f t="shared" si="1"/>
        <v>578</v>
      </c>
      <c r="C67" s="24">
        <f>'c-10'!C42</f>
        <v>578</v>
      </c>
      <c r="D67" s="141" t="s">
        <v>374</v>
      </c>
      <c r="E67" s="64" t="s">
        <v>374</v>
      </c>
      <c r="F67" s="117" t="s">
        <v>374</v>
      </c>
      <c r="G67" s="117" t="s">
        <v>374</v>
      </c>
      <c r="H67" s="117" t="s">
        <v>374</v>
      </c>
      <c r="I67" s="117" t="s">
        <v>374</v>
      </c>
      <c r="J67" s="117" t="s">
        <v>374</v>
      </c>
      <c r="K67" s="117" t="s">
        <v>374</v>
      </c>
      <c r="L67" s="117" t="s">
        <v>374</v>
      </c>
      <c r="M67" s="117" t="s">
        <v>374</v>
      </c>
      <c r="N67" s="118" t="s">
        <v>374</v>
      </c>
      <c r="O67" s="65" t="s">
        <v>374</v>
      </c>
      <c r="P67" s="65" t="s">
        <v>374</v>
      </c>
    </row>
    <row r="68" spans="1:20" ht="15.75" customHeight="1">
      <c r="A68" s="120" t="s">
        <v>451</v>
      </c>
      <c r="B68" s="26">
        <f t="shared" si="1"/>
        <v>641</v>
      </c>
      <c r="C68" s="24">
        <f>'c-10'!C69</f>
        <v>641</v>
      </c>
      <c r="D68" s="141" t="s">
        <v>374</v>
      </c>
      <c r="E68" s="64" t="s">
        <v>374</v>
      </c>
      <c r="F68" s="117" t="s">
        <v>374</v>
      </c>
      <c r="G68" s="24" t="s">
        <v>374</v>
      </c>
      <c r="H68" s="117" t="s">
        <v>374</v>
      </c>
      <c r="I68" s="117" t="s">
        <v>374</v>
      </c>
      <c r="J68" s="117" t="s">
        <v>374</v>
      </c>
      <c r="K68" s="117" t="s">
        <v>374</v>
      </c>
      <c r="L68" s="117" t="s">
        <v>374</v>
      </c>
      <c r="M68" s="117" t="s">
        <v>374</v>
      </c>
      <c r="N68" s="118" t="s">
        <v>374</v>
      </c>
      <c r="O68" s="65" t="s">
        <v>374</v>
      </c>
      <c r="P68" s="65" t="s">
        <v>374</v>
      </c>
    </row>
    <row r="69" spans="1:20" ht="15.75" customHeight="1">
      <c r="A69" s="120" t="s">
        <v>452</v>
      </c>
      <c r="B69" s="26">
        <f t="shared" si="1"/>
        <v>697</v>
      </c>
      <c r="C69" s="24">
        <f>'c-10'!C80</f>
        <v>697</v>
      </c>
      <c r="D69" s="141" t="s">
        <v>374</v>
      </c>
      <c r="E69" s="64" t="s">
        <v>374</v>
      </c>
      <c r="F69" s="117" t="s">
        <v>374</v>
      </c>
      <c r="G69" s="64" t="s">
        <v>374</v>
      </c>
      <c r="H69" s="117" t="s">
        <v>374</v>
      </c>
      <c r="I69" s="117" t="s">
        <v>374</v>
      </c>
      <c r="J69" s="117" t="s">
        <v>374</v>
      </c>
      <c r="K69" s="117" t="s">
        <v>374</v>
      </c>
      <c r="L69" s="117" t="s">
        <v>374</v>
      </c>
      <c r="M69" s="117" t="s">
        <v>374</v>
      </c>
      <c r="N69" s="118" t="s">
        <v>374</v>
      </c>
      <c r="O69" s="65" t="s">
        <v>374</v>
      </c>
      <c r="P69" s="65" t="s">
        <v>374</v>
      </c>
    </row>
    <row r="70" spans="1:20" ht="15.75" customHeight="1">
      <c r="A70" s="120" t="s">
        <v>453</v>
      </c>
      <c r="B70" s="26">
        <f t="shared" si="1"/>
        <v>425</v>
      </c>
      <c r="C70" s="24">
        <f>'c-10'!C109</f>
        <v>326</v>
      </c>
      <c r="D70" s="141" t="s">
        <v>374</v>
      </c>
      <c r="E70" s="64" t="s">
        <v>374</v>
      </c>
      <c r="F70" s="117" t="s">
        <v>374</v>
      </c>
      <c r="G70" s="24">
        <f>'c-12'!C35</f>
        <v>99</v>
      </c>
      <c r="H70" s="117" t="s">
        <v>374</v>
      </c>
      <c r="I70" s="117" t="s">
        <v>374</v>
      </c>
      <c r="J70" s="117" t="s">
        <v>374</v>
      </c>
      <c r="K70" s="117" t="s">
        <v>374</v>
      </c>
      <c r="L70" s="117" t="s">
        <v>374</v>
      </c>
      <c r="M70" s="117" t="s">
        <v>374</v>
      </c>
      <c r="N70" s="118" t="s">
        <v>374</v>
      </c>
      <c r="O70" s="65" t="s">
        <v>374</v>
      </c>
      <c r="P70" s="65" t="s">
        <v>374</v>
      </c>
    </row>
    <row r="71" spans="1:20" ht="15.75" customHeight="1">
      <c r="A71" s="120" t="s">
        <v>454</v>
      </c>
      <c r="B71" s="26">
        <f t="shared" si="1"/>
        <v>255</v>
      </c>
      <c r="C71" s="24">
        <f>'c-10'!C137</f>
        <v>255</v>
      </c>
      <c r="D71" s="141" t="s">
        <v>374</v>
      </c>
      <c r="E71" s="64" t="s">
        <v>374</v>
      </c>
      <c r="F71" s="117" t="s">
        <v>374</v>
      </c>
      <c r="G71" s="117" t="s">
        <v>374</v>
      </c>
      <c r="H71" s="117" t="s">
        <v>374</v>
      </c>
      <c r="I71" s="117" t="s">
        <v>374</v>
      </c>
      <c r="J71" s="117" t="s">
        <v>374</v>
      </c>
      <c r="K71" s="117" t="s">
        <v>374</v>
      </c>
      <c r="L71" s="117" t="s">
        <v>374</v>
      </c>
      <c r="M71" s="117" t="s">
        <v>374</v>
      </c>
      <c r="N71" s="118" t="s">
        <v>374</v>
      </c>
      <c r="O71" s="65" t="s">
        <v>374</v>
      </c>
      <c r="P71" s="65" t="s">
        <v>374</v>
      </c>
    </row>
    <row r="72" spans="1:20" ht="15.75" customHeight="1">
      <c r="A72" s="120" t="s">
        <v>455</v>
      </c>
      <c r="B72" s="26">
        <f t="shared" si="1"/>
        <v>308</v>
      </c>
      <c r="C72" s="24">
        <f>'c-10'!C143</f>
        <v>308</v>
      </c>
      <c r="D72" s="141" t="s">
        <v>374</v>
      </c>
      <c r="E72" s="64" t="s">
        <v>374</v>
      </c>
      <c r="F72" s="117" t="s">
        <v>374</v>
      </c>
      <c r="G72" s="117" t="s">
        <v>374</v>
      </c>
      <c r="H72" s="117" t="s">
        <v>374</v>
      </c>
      <c r="I72" s="117" t="s">
        <v>374</v>
      </c>
      <c r="J72" s="117" t="s">
        <v>374</v>
      </c>
      <c r="K72" s="117" t="s">
        <v>374</v>
      </c>
      <c r="L72" s="117" t="s">
        <v>374</v>
      </c>
      <c r="M72" s="117" t="s">
        <v>374</v>
      </c>
      <c r="N72" s="118" t="s">
        <v>374</v>
      </c>
      <c r="O72" s="65" t="s">
        <v>374</v>
      </c>
      <c r="P72" s="65" t="s">
        <v>374</v>
      </c>
    </row>
    <row r="73" spans="1:20" ht="15.75" customHeight="1">
      <c r="A73" s="113"/>
      <c r="B73" s="26"/>
      <c r="C73" s="26"/>
      <c r="D73" s="21"/>
      <c r="E73" s="26"/>
      <c r="F73" s="51"/>
      <c r="G73" s="51"/>
      <c r="H73" s="51"/>
      <c r="I73" s="51"/>
      <c r="J73" s="51"/>
      <c r="K73" s="51"/>
      <c r="L73" s="117"/>
      <c r="M73" s="51"/>
      <c r="N73" s="21"/>
      <c r="O73" s="65"/>
      <c r="P73" s="65"/>
    </row>
    <row r="74" spans="1:20" ht="15.75" customHeight="1">
      <c r="A74" s="106" t="s">
        <v>225</v>
      </c>
      <c r="B74" s="62">
        <f>SUM(B76:B79)</f>
        <v>91759</v>
      </c>
      <c r="C74" s="62" t="s">
        <v>374</v>
      </c>
      <c r="D74" s="63">
        <f>SUM(D76:D79)</f>
        <v>91759</v>
      </c>
      <c r="E74" s="64" t="s">
        <v>374</v>
      </c>
      <c r="F74" s="97" t="s">
        <v>374</v>
      </c>
      <c r="G74" s="97" t="s">
        <v>374</v>
      </c>
      <c r="H74" s="97" t="s">
        <v>374</v>
      </c>
      <c r="I74" s="97" t="s">
        <v>374</v>
      </c>
      <c r="J74" s="97" t="s">
        <v>374</v>
      </c>
      <c r="K74" s="97" t="s">
        <v>374</v>
      </c>
      <c r="L74" s="97" t="s">
        <v>374</v>
      </c>
      <c r="M74" s="97" t="s">
        <v>374</v>
      </c>
      <c r="N74" s="98" t="s">
        <v>374</v>
      </c>
      <c r="O74" s="112" t="s">
        <v>374</v>
      </c>
      <c r="P74" s="112" t="s">
        <v>374</v>
      </c>
      <c r="Q74" s="91"/>
      <c r="R74" s="91"/>
      <c r="S74" s="91"/>
      <c r="T74" s="91"/>
    </row>
    <row r="75" spans="1:20" ht="15.75" customHeight="1">
      <c r="A75" s="113"/>
      <c r="B75" s="26"/>
      <c r="C75" s="26"/>
      <c r="D75" s="51"/>
      <c r="E75" s="51"/>
      <c r="F75" s="51"/>
      <c r="G75" s="51"/>
      <c r="H75" s="51"/>
      <c r="I75" s="51"/>
      <c r="J75" s="51"/>
      <c r="K75" s="51"/>
      <c r="L75" s="117"/>
      <c r="M75" s="51"/>
      <c r="N75" s="21"/>
      <c r="O75" s="65"/>
      <c r="P75" s="65"/>
    </row>
    <row r="76" spans="1:20" ht="15.75" customHeight="1">
      <c r="A76" s="120" t="s">
        <v>456</v>
      </c>
      <c r="B76" s="26">
        <f>SUM(C76:P76)</f>
        <v>12311</v>
      </c>
      <c r="C76" s="24" t="s">
        <v>374</v>
      </c>
      <c r="D76" s="121">
        <f>'c-11'!C12</f>
        <v>12311</v>
      </c>
      <c r="E76" s="117" t="s">
        <v>374</v>
      </c>
      <c r="F76" s="117" t="s">
        <v>374</v>
      </c>
      <c r="G76" s="117" t="s">
        <v>374</v>
      </c>
      <c r="H76" s="117" t="s">
        <v>374</v>
      </c>
      <c r="I76" s="117" t="s">
        <v>374</v>
      </c>
      <c r="J76" s="117" t="s">
        <v>374</v>
      </c>
      <c r="K76" s="117" t="s">
        <v>374</v>
      </c>
      <c r="L76" s="117" t="s">
        <v>374</v>
      </c>
      <c r="M76" s="117" t="s">
        <v>374</v>
      </c>
      <c r="N76" s="118" t="s">
        <v>374</v>
      </c>
      <c r="O76" s="65" t="s">
        <v>374</v>
      </c>
      <c r="P76" s="65" t="s">
        <v>374</v>
      </c>
    </row>
    <row r="77" spans="1:20" ht="15.75" customHeight="1">
      <c r="A77" s="120" t="s">
        <v>457</v>
      </c>
      <c r="B77" s="26">
        <f>SUM(C77:P77)</f>
        <v>13319</v>
      </c>
      <c r="C77" s="117" t="s">
        <v>374</v>
      </c>
      <c r="D77" s="121">
        <f>'c-11'!C13</f>
        <v>13319</v>
      </c>
      <c r="E77" s="117" t="s">
        <v>374</v>
      </c>
      <c r="F77" s="117" t="s">
        <v>374</v>
      </c>
      <c r="G77" s="117" t="s">
        <v>374</v>
      </c>
      <c r="H77" s="117" t="s">
        <v>374</v>
      </c>
      <c r="I77" s="117" t="s">
        <v>374</v>
      </c>
      <c r="J77" s="117" t="s">
        <v>374</v>
      </c>
      <c r="K77" s="117" t="s">
        <v>374</v>
      </c>
      <c r="L77" s="117" t="s">
        <v>374</v>
      </c>
      <c r="M77" s="117" t="s">
        <v>374</v>
      </c>
      <c r="N77" s="118" t="s">
        <v>374</v>
      </c>
      <c r="O77" s="65" t="s">
        <v>374</v>
      </c>
      <c r="P77" s="65" t="s">
        <v>374</v>
      </c>
    </row>
    <row r="78" spans="1:20" ht="15.75" customHeight="1">
      <c r="A78" s="120" t="s">
        <v>1016</v>
      </c>
      <c r="B78" s="26">
        <f>SUM(C78:P78)</f>
        <v>26838</v>
      </c>
      <c r="C78" s="117" t="s">
        <v>374</v>
      </c>
      <c r="D78" s="121">
        <f>'c-11'!C14</f>
        <v>26838</v>
      </c>
      <c r="E78" s="117" t="s">
        <v>374</v>
      </c>
      <c r="F78" s="117" t="s">
        <v>374</v>
      </c>
      <c r="G78" s="117" t="s">
        <v>374</v>
      </c>
      <c r="H78" s="117" t="s">
        <v>374</v>
      </c>
      <c r="I78" s="117" t="s">
        <v>374</v>
      </c>
      <c r="J78" s="117" t="s">
        <v>374</v>
      </c>
      <c r="K78" s="117" t="s">
        <v>374</v>
      </c>
      <c r="L78" s="117" t="s">
        <v>374</v>
      </c>
      <c r="M78" s="117" t="s">
        <v>374</v>
      </c>
      <c r="N78" s="118" t="s">
        <v>374</v>
      </c>
      <c r="O78" s="417" t="s">
        <v>374</v>
      </c>
      <c r="P78" s="21" t="s">
        <v>374</v>
      </c>
    </row>
    <row r="79" spans="1:20" ht="15.75" customHeight="1">
      <c r="A79" s="120" t="s">
        <v>458</v>
      </c>
      <c r="B79" s="26">
        <f>SUM(C79:P79)</f>
        <v>39291</v>
      </c>
      <c r="C79" s="117" t="s">
        <v>374</v>
      </c>
      <c r="D79" s="117">
        <f>'c-11'!C17</f>
        <v>39291</v>
      </c>
      <c r="E79" s="117" t="s">
        <v>374</v>
      </c>
      <c r="F79" s="117" t="s">
        <v>374</v>
      </c>
      <c r="G79" s="117" t="s">
        <v>374</v>
      </c>
      <c r="H79" s="117" t="s">
        <v>374</v>
      </c>
      <c r="I79" s="117" t="s">
        <v>374</v>
      </c>
      <c r="J79" s="117" t="s">
        <v>374</v>
      </c>
      <c r="K79" s="117" t="s">
        <v>374</v>
      </c>
      <c r="L79" s="117" t="s">
        <v>374</v>
      </c>
      <c r="M79" s="117" t="s">
        <v>374</v>
      </c>
      <c r="N79" s="117" t="s">
        <v>374</v>
      </c>
      <c r="O79" s="117" t="s">
        <v>374</v>
      </c>
      <c r="P79" s="118" t="s">
        <v>374</v>
      </c>
    </row>
    <row r="80" spans="1:20" s="91" customFormat="1" ht="15.75" customHeight="1">
      <c r="A80" s="113"/>
      <c r="B80" s="26"/>
      <c r="C80" s="26"/>
      <c r="D80" s="51"/>
      <c r="E80" s="51"/>
      <c r="F80" s="51"/>
      <c r="G80" s="51"/>
      <c r="H80" s="51"/>
      <c r="I80" s="51"/>
      <c r="J80" s="51"/>
      <c r="K80" s="51"/>
      <c r="L80" s="117"/>
      <c r="M80" s="51"/>
      <c r="N80" s="21"/>
      <c r="O80" s="65"/>
      <c r="P80" s="65"/>
    </row>
    <row r="81" spans="1:16" ht="15.75" customHeight="1">
      <c r="A81" s="106" t="s">
        <v>459</v>
      </c>
      <c r="B81" s="62">
        <f>SUM(B83:B85)</f>
        <v>14758</v>
      </c>
      <c r="C81" s="62" t="s">
        <v>374</v>
      </c>
      <c r="D81" s="62" t="s">
        <v>374</v>
      </c>
      <c r="E81" s="122">
        <f>SUM(E83:E85)</f>
        <v>14758</v>
      </c>
      <c r="F81" s="97" t="s">
        <v>374</v>
      </c>
      <c r="G81" s="97" t="s">
        <v>374</v>
      </c>
      <c r="H81" s="97" t="s">
        <v>374</v>
      </c>
      <c r="I81" s="97" t="s">
        <v>374</v>
      </c>
      <c r="J81" s="97" t="s">
        <v>374</v>
      </c>
      <c r="K81" s="97" t="s">
        <v>374</v>
      </c>
      <c r="L81" s="97" t="s">
        <v>374</v>
      </c>
      <c r="M81" s="97" t="s">
        <v>374</v>
      </c>
      <c r="N81" s="98" t="s">
        <v>374</v>
      </c>
      <c r="O81" s="112" t="s">
        <v>374</v>
      </c>
      <c r="P81" s="112" t="s">
        <v>374</v>
      </c>
    </row>
    <row r="82" spans="1:16" ht="15.75" customHeight="1">
      <c r="A82" s="120"/>
      <c r="B82" s="64"/>
      <c r="C82" s="26"/>
      <c r="D82" s="51"/>
      <c r="E82" s="117"/>
      <c r="F82" s="51"/>
      <c r="G82" s="51"/>
      <c r="H82" s="51"/>
      <c r="I82" s="51"/>
      <c r="J82" s="51"/>
      <c r="K82" s="51"/>
      <c r="L82" s="117"/>
      <c r="M82" s="51"/>
      <c r="N82" s="21"/>
      <c r="O82" s="65"/>
      <c r="P82" s="65"/>
    </row>
    <row r="83" spans="1:16" ht="15.75" customHeight="1">
      <c r="A83" s="120" t="s">
        <v>460</v>
      </c>
      <c r="B83" s="26">
        <f>SUM(C83:P83)</f>
        <v>15</v>
      </c>
      <c r="C83" s="64" t="s">
        <v>374</v>
      </c>
      <c r="D83" s="64" t="s">
        <v>374</v>
      </c>
      <c r="E83" s="24">
        <f>'c-13'!C11</f>
        <v>15</v>
      </c>
      <c r="F83" s="117" t="s">
        <v>374</v>
      </c>
      <c r="G83" s="117" t="s">
        <v>374</v>
      </c>
      <c r="H83" s="117" t="s">
        <v>374</v>
      </c>
      <c r="I83" s="117" t="s">
        <v>374</v>
      </c>
      <c r="J83" s="117" t="s">
        <v>374</v>
      </c>
      <c r="K83" s="117" t="s">
        <v>374</v>
      </c>
      <c r="L83" s="117" t="s">
        <v>374</v>
      </c>
      <c r="M83" s="117" t="s">
        <v>374</v>
      </c>
      <c r="N83" s="118" t="s">
        <v>374</v>
      </c>
      <c r="O83" s="65" t="s">
        <v>374</v>
      </c>
      <c r="P83" s="65" t="s">
        <v>374</v>
      </c>
    </row>
    <row r="84" spans="1:16" ht="15.75" customHeight="1">
      <c r="A84" s="120" t="s">
        <v>461</v>
      </c>
      <c r="B84" s="26">
        <f>SUM(C84:P84)</f>
        <v>1641</v>
      </c>
      <c r="C84" s="64" t="s">
        <v>374</v>
      </c>
      <c r="D84" s="64" t="s">
        <v>374</v>
      </c>
      <c r="E84" s="24">
        <f>'c-13'!C13</f>
        <v>1641</v>
      </c>
      <c r="F84" s="117" t="s">
        <v>374</v>
      </c>
      <c r="G84" s="117" t="s">
        <v>374</v>
      </c>
      <c r="H84" s="117" t="s">
        <v>374</v>
      </c>
      <c r="I84" s="117" t="s">
        <v>374</v>
      </c>
      <c r="J84" s="117" t="s">
        <v>374</v>
      </c>
      <c r="K84" s="117" t="s">
        <v>374</v>
      </c>
      <c r="L84" s="117" t="s">
        <v>374</v>
      </c>
      <c r="M84" s="117" t="s">
        <v>374</v>
      </c>
      <c r="N84" s="118" t="s">
        <v>374</v>
      </c>
      <c r="O84" s="65" t="s">
        <v>374</v>
      </c>
      <c r="P84" s="65" t="s">
        <v>374</v>
      </c>
    </row>
    <row r="85" spans="1:16" ht="15.75" customHeight="1">
      <c r="A85" s="120" t="s">
        <v>462</v>
      </c>
      <c r="B85" s="26">
        <f>SUM(C85:P85)</f>
        <v>13102</v>
      </c>
      <c r="C85" s="64" t="s">
        <v>374</v>
      </c>
      <c r="D85" s="64" t="s">
        <v>374</v>
      </c>
      <c r="E85" s="24">
        <f>'c-13'!C15</f>
        <v>13102</v>
      </c>
      <c r="F85" s="117" t="s">
        <v>374</v>
      </c>
      <c r="G85" s="117" t="s">
        <v>374</v>
      </c>
      <c r="H85" s="117" t="s">
        <v>374</v>
      </c>
      <c r="I85" s="117" t="s">
        <v>374</v>
      </c>
      <c r="J85" s="117" t="s">
        <v>374</v>
      </c>
      <c r="K85" s="117" t="s">
        <v>374</v>
      </c>
      <c r="L85" s="117" t="s">
        <v>374</v>
      </c>
      <c r="M85" s="117" t="s">
        <v>374</v>
      </c>
      <c r="N85" s="118" t="s">
        <v>374</v>
      </c>
      <c r="O85" s="65" t="s">
        <v>374</v>
      </c>
      <c r="P85" s="65" t="s">
        <v>374</v>
      </c>
    </row>
    <row r="86" spans="1:16" ht="15.75" customHeight="1">
      <c r="A86" s="113"/>
      <c r="B86" s="26"/>
      <c r="C86" s="51"/>
      <c r="D86" s="51"/>
      <c r="E86" s="51"/>
      <c r="F86" s="51"/>
      <c r="G86" s="51"/>
      <c r="H86" s="51"/>
      <c r="I86" s="51"/>
      <c r="J86" s="51"/>
      <c r="K86" s="51"/>
      <c r="L86" s="117"/>
      <c r="M86" s="51"/>
      <c r="N86" s="21"/>
      <c r="O86" s="65"/>
      <c r="P86" s="65"/>
    </row>
    <row r="87" spans="1:16" ht="15.75" customHeight="1">
      <c r="A87" s="106" t="s">
        <v>463</v>
      </c>
      <c r="B87" s="62">
        <f>SUM(B89:B89)</f>
        <v>5</v>
      </c>
      <c r="C87" s="98" t="s">
        <v>374</v>
      </c>
      <c r="D87" s="122">
        <f>SUM(D89:D89)</f>
        <v>5</v>
      </c>
      <c r="E87" s="62" t="s">
        <v>374</v>
      </c>
      <c r="F87" s="97" t="s">
        <v>374</v>
      </c>
      <c r="G87" s="97" t="s">
        <v>374</v>
      </c>
      <c r="H87" s="97" t="s">
        <v>374</v>
      </c>
      <c r="I87" s="97" t="s">
        <v>374</v>
      </c>
      <c r="J87" s="97" t="s">
        <v>374</v>
      </c>
      <c r="K87" s="97" t="s">
        <v>374</v>
      </c>
      <c r="L87" s="97" t="s">
        <v>374</v>
      </c>
      <c r="M87" s="97" t="s">
        <v>374</v>
      </c>
      <c r="N87" s="98" t="s">
        <v>374</v>
      </c>
      <c r="O87" s="112" t="s">
        <v>374</v>
      </c>
      <c r="P87" s="112" t="s">
        <v>374</v>
      </c>
    </row>
    <row r="88" spans="1:16" ht="15.75" customHeight="1">
      <c r="A88" s="120"/>
      <c r="B88" s="64"/>
      <c r="C88" s="51"/>
      <c r="D88" s="51"/>
      <c r="E88" s="117"/>
      <c r="F88" s="51"/>
      <c r="G88" s="51"/>
      <c r="H88" s="51"/>
      <c r="I88" s="51"/>
      <c r="J88" s="51"/>
      <c r="K88" s="51"/>
      <c r="L88" s="117"/>
      <c r="M88" s="51"/>
      <c r="N88" s="21"/>
      <c r="O88" s="65"/>
      <c r="P88" s="65"/>
    </row>
    <row r="89" spans="1:16" ht="15.75" customHeight="1">
      <c r="A89" s="120" t="s">
        <v>464</v>
      </c>
      <c r="B89" s="26">
        <f>SUM(C89:P89)</f>
        <v>5</v>
      </c>
      <c r="C89" s="118" t="s">
        <v>374</v>
      </c>
      <c r="D89" s="64">
        <f>'c-11'!C18</f>
        <v>5</v>
      </c>
      <c r="E89" s="64" t="s">
        <v>374</v>
      </c>
      <c r="F89" s="117" t="s">
        <v>374</v>
      </c>
      <c r="G89" s="117" t="s">
        <v>374</v>
      </c>
      <c r="H89" s="117" t="s">
        <v>374</v>
      </c>
      <c r="I89" s="117" t="s">
        <v>374</v>
      </c>
      <c r="J89" s="117" t="s">
        <v>374</v>
      </c>
      <c r="K89" s="117" t="s">
        <v>374</v>
      </c>
      <c r="L89" s="117" t="s">
        <v>374</v>
      </c>
      <c r="M89" s="117" t="s">
        <v>374</v>
      </c>
      <c r="N89" s="118" t="s">
        <v>374</v>
      </c>
      <c r="O89" s="65" t="s">
        <v>374</v>
      </c>
      <c r="P89" s="65" t="s">
        <v>374</v>
      </c>
    </row>
    <row r="90" spans="1:16" s="91" customFormat="1" ht="15.75" customHeight="1">
      <c r="A90" s="113"/>
      <c r="B90" s="26"/>
      <c r="C90" s="51"/>
      <c r="D90" s="51"/>
      <c r="E90" s="51"/>
      <c r="F90" s="51"/>
      <c r="G90" s="51"/>
      <c r="H90" s="51"/>
      <c r="I90" s="51"/>
      <c r="J90" s="51"/>
      <c r="K90" s="51"/>
      <c r="L90" s="117"/>
      <c r="M90" s="51"/>
      <c r="N90" s="21"/>
      <c r="O90" s="65"/>
      <c r="P90" s="65"/>
    </row>
    <row r="91" spans="1:16" ht="15.75" customHeight="1">
      <c r="A91" s="106" t="s">
        <v>228</v>
      </c>
      <c r="B91" s="62">
        <f>SUM(B93:B104)</f>
        <v>21700</v>
      </c>
      <c r="C91" s="97" t="s">
        <v>374</v>
      </c>
      <c r="D91" s="97" t="s">
        <v>374</v>
      </c>
      <c r="E91" s="97" t="s">
        <v>374</v>
      </c>
      <c r="F91" s="62">
        <f>SUM(F93:F104)</f>
        <v>21700</v>
      </c>
      <c r="G91" s="62" t="s">
        <v>374</v>
      </c>
      <c r="H91" s="97" t="s">
        <v>374</v>
      </c>
      <c r="I91" s="97" t="s">
        <v>374</v>
      </c>
      <c r="J91" s="97" t="s">
        <v>374</v>
      </c>
      <c r="K91" s="97" t="s">
        <v>374</v>
      </c>
      <c r="L91" s="97" t="s">
        <v>374</v>
      </c>
      <c r="M91" s="97" t="s">
        <v>374</v>
      </c>
      <c r="N91" s="98" t="s">
        <v>374</v>
      </c>
      <c r="O91" s="112" t="s">
        <v>374</v>
      </c>
      <c r="P91" s="112" t="s">
        <v>374</v>
      </c>
    </row>
    <row r="92" spans="1:16" ht="15.75" customHeight="1">
      <c r="A92" s="120"/>
      <c r="B92" s="64"/>
      <c r="C92" s="51"/>
      <c r="D92" s="51"/>
      <c r="E92" s="51"/>
      <c r="F92" s="117"/>
      <c r="G92" s="51"/>
      <c r="H92" s="51"/>
      <c r="I92" s="51"/>
      <c r="J92" s="51"/>
      <c r="K92" s="51"/>
      <c r="L92" s="117"/>
      <c r="M92" s="51"/>
      <c r="N92" s="118"/>
      <c r="O92" s="65"/>
      <c r="P92" s="65"/>
    </row>
    <row r="93" spans="1:16" ht="15.75" customHeight="1">
      <c r="A93" s="120" t="s">
        <v>465</v>
      </c>
      <c r="B93" s="26">
        <f t="shared" ref="B93:B104" si="2">SUM(C93:P93)</f>
        <v>1495</v>
      </c>
      <c r="C93" s="117" t="s">
        <v>374</v>
      </c>
      <c r="D93" s="117" t="s">
        <v>374</v>
      </c>
      <c r="E93" s="117" t="s">
        <v>374</v>
      </c>
      <c r="F93" s="65">
        <f>'c-14'!C12</f>
        <v>1495</v>
      </c>
      <c r="G93" s="64" t="s">
        <v>374</v>
      </c>
      <c r="H93" s="117" t="s">
        <v>374</v>
      </c>
      <c r="I93" s="117" t="s">
        <v>374</v>
      </c>
      <c r="J93" s="117" t="s">
        <v>374</v>
      </c>
      <c r="K93" s="117" t="s">
        <v>374</v>
      </c>
      <c r="L93" s="117" t="s">
        <v>374</v>
      </c>
      <c r="M93" s="117" t="s">
        <v>374</v>
      </c>
      <c r="N93" s="118" t="s">
        <v>374</v>
      </c>
      <c r="O93" s="65" t="s">
        <v>374</v>
      </c>
      <c r="P93" s="65" t="s">
        <v>374</v>
      </c>
    </row>
    <row r="94" spans="1:16" ht="15.75" customHeight="1">
      <c r="A94" s="120" t="s">
        <v>466</v>
      </c>
      <c r="B94" s="26">
        <f t="shared" si="2"/>
        <v>1370</v>
      </c>
      <c r="C94" s="117" t="s">
        <v>374</v>
      </c>
      <c r="D94" s="117" t="s">
        <v>374</v>
      </c>
      <c r="E94" s="117" t="s">
        <v>374</v>
      </c>
      <c r="F94" s="65">
        <f>'c-14'!C13</f>
        <v>1370</v>
      </c>
      <c r="G94" s="64" t="s">
        <v>374</v>
      </c>
      <c r="H94" s="117" t="s">
        <v>374</v>
      </c>
      <c r="I94" s="117" t="s">
        <v>374</v>
      </c>
      <c r="J94" s="117" t="s">
        <v>374</v>
      </c>
      <c r="K94" s="117" t="s">
        <v>374</v>
      </c>
      <c r="L94" s="117" t="s">
        <v>374</v>
      </c>
      <c r="M94" s="117" t="s">
        <v>374</v>
      </c>
      <c r="N94" s="118" t="s">
        <v>374</v>
      </c>
      <c r="O94" s="65" t="s">
        <v>374</v>
      </c>
      <c r="P94" s="65" t="s">
        <v>374</v>
      </c>
    </row>
    <row r="95" spans="1:16" ht="15.75" customHeight="1">
      <c r="A95" s="120" t="s">
        <v>467</v>
      </c>
      <c r="B95" s="26">
        <f t="shared" si="2"/>
        <v>846</v>
      </c>
      <c r="C95" s="117" t="s">
        <v>374</v>
      </c>
      <c r="D95" s="117" t="s">
        <v>374</v>
      </c>
      <c r="E95" s="117" t="s">
        <v>374</v>
      </c>
      <c r="F95" s="65">
        <f>'c-14'!C14</f>
        <v>846</v>
      </c>
      <c r="G95" s="64" t="s">
        <v>374</v>
      </c>
      <c r="H95" s="117" t="s">
        <v>374</v>
      </c>
      <c r="I95" s="117" t="s">
        <v>374</v>
      </c>
      <c r="J95" s="117" t="s">
        <v>374</v>
      </c>
      <c r="K95" s="117" t="s">
        <v>374</v>
      </c>
      <c r="L95" s="117" t="s">
        <v>374</v>
      </c>
      <c r="M95" s="117" t="s">
        <v>374</v>
      </c>
      <c r="N95" s="118" t="s">
        <v>374</v>
      </c>
      <c r="O95" s="65" t="s">
        <v>374</v>
      </c>
      <c r="P95" s="65" t="s">
        <v>374</v>
      </c>
    </row>
    <row r="96" spans="1:16" ht="15.75" customHeight="1">
      <c r="A96" s="120" t="s">
        <v>468</v>
      </c>
      <c r="B96" s="26">
        <f t="shared" si="2"/>
        <v>2839</v>
      </c>
      <c r="C96" s="117" t="s">
        <v>374</v>
      </c>
      <c r="D96" s="117" t="s">
        <v>374</v>
      </c>
      <c r="E96" s="117" t="s">
        <v>374</v>
      </c>
      <c r="F96" s="65">
        <f>'c-14'!C18</f>
        <v>2839</v>
      </c>
      <c r="G96" s="64" t="s">
        <v>374</v>
      </c>
      <c r="H96" s="117" t="s">
        <v>374</v>
      </c>
      <c r="I96" s="117" t="s">
        <v>374</v>
      </c>
      <c r="J96" s="117" t="s">
        <v>374</v>
      </c>
      <c r="K96" s="117" t="s">
        <v>374</v>
      </c>
      <c r="L96" s="117" t="s">
        <v>374</v>
      </c>
      <c r="M96" s="117" t="s">
        <v>374</v>
      </c>
      <c r="N96" s="118" t="s">
        <v>374</v>
      </c>
      <c r="O96" s="65" t="s">
        <v>374</v>
      </c>
      <c r="P96" s="65" t="s">
        <v>374</v>
      </c>
    </row>
    <row r="97" spans="1:16" ht="15.75" customHeight="1">
      <c r="A97" s="120" t="s">
        <v>425</v>
      </c>
      <c r="B97" s="26">
        <f t="shared" si="2"/>
        <v>1928</v>
      </c>
      <c r="C97" s="117" t="s">
        <v>374</v>
      </c>
      <c r="D97" s="117" t="s">
        <v>374</v>
      </c>
      <c r="E97" s="117" t="s">
        <v>374</v>
      </c>
      <c r="F97" s="65">
        <f>'c-14'!C22</f>
        <v>1928</v>
      </c>
      <c r="G97" s="64" t="s">
        <v>374</v>
      </c>
      <c r="H97" s="117" t="s">
        <v>374</v>
      </c>
      <c r="I97" s="117" t="s">
        <v>374</v>
      </c>
      <c r="J97" s="117" t="s">
        <v>374</v>
      </c>
      <c r="K97" s="117" t="s">
        <v>374</v>
      </c>
      <c r="L97" s="117" t="s">
        <v>374</v>
      </c>
      <c r="M97" s="117" t="s">
        <v>374</v>
      </c>
      <c r="N97" s="118" t="s">
        <v>374</v>
      </c>
      <c r="O97" s="65" t="s">
        <v>374</v>
      </c>
      <c r="P97" s="65" t="s">
        <v>374</v>
      </c>
    </row>
    <row r="98" spans="1:16" ht="15.75" customHeight="1">
      <c r="A98" s="120" t="s">
        <v>450</v>
      </c>
      <c r="B98" s="26">
        <f t="shared" si="2"/>
        <v>2503</v>
      </c>
      <c r="C98" s="117" t="s">
        <v>374</v>
      </c>
      <c r="D98" s="117" t="s">
        <v>374</v>
      </c>
      <c r="E98" s="117" t="s">
        <v>374</v>
      </c>
      <c r="F98" s="65">
        <f>'c-14'!C25</f>
        <v>2503</v>
      </c>
      <c r="G98" s="64" t="s">
        <v>374</v>
      </c>
      <c r="H98" s="117" t="s">
        <v>374</v>
      </c>
      <c r="I98" s="117" t="s">
        <v>374</v>
      </c>
      <c r="J98" s="117" t="s">
        <v>374</v>
      </c>
      <c r="K98" s="117" t="s">
        <v>374</v>
      </c>
      <c r="L98" s="117" t="s">
        <v>374</v>
      </c>
      <c r="M98" s="117" t="s">
        <v>374</v>
      </c>
      <c r="N98" s="118" t="s">
        <v>374</v>
      </c>
      <c r="O98" s="65" t="s">
        <v>374</v>
      </c>
      <c r="P98" s="65" t="s">
        <v>374</v>
      </c>
    </row>
    <row r="99" spans="1:16" ht="15.75" customHeight="1">
      <c r="A99" s="120" t="s">
        <v>498</v>
      </c>
      <c r="B99" s="26">
        <f t="shared" si="2"/>
        <v>1203</v>
      </c>
      <c r="C99" s="117" t="s">
        <v>374</v>
      </c>
      <c r="D99" s="117" t="s">
        <v>374</v>
      </c>
      <c r="E99" s="117" t="s">
        <v>374</v>
      </c>
      <c r="F99" s="65">
        <f>'c-14'!C28</f>
        <v>1203</v>
      </c>
      <c r="G99" s="64" t="s">
        <v>374</v>
      </c>
      <c r="H99" s="117" t="s">
        <v>374</v>
      </c>
      <c r="I99" s="117" t="s">
        <v>374</v>
      </c>
      <c r="J99" s="117" t="s">
        <v>374</v>
      </c>
      <c r="K99" s="117" t="s">
        <v>374</v>
      </c>
      <c r="L99" s="117" t="s">
        <v>374</v>
      </c>
      <c r="M99" s="64" t="s">
        <v>374</v>
      </c>
      <c r="N99" s="66" t="s">
        <v>374</v>
      </c>
      <c r="O99" s="65" t="s">
        <v>374</v>
      </c>
      <c r="P99" s="65" t="s">
        <v>374</v>
      </c>
    </row>
    <row r="100" spans="1:16" ht="15.75" customHeight="1">
      <c r="A100" s="120" t="s">
        <v>451</v>
      </c>
      <c r="B100" s="26">
        <f t="shared" si="2"/>
        <v>3107</v>
      </c>
      <c r="C100" s="117" t="s">
        <v>374</v>
      </c>
      <c r="D100" s="117" t="s">
        <v>374</v>
      </c>
      <c r="E100" s="117" t="s">
        <v>374</v>
      </c>
      <c r="F100" s="65">
        <f>'c-14'!C36</f>
        <v>3107</v>
      </c>
      <c r="G100" s="64" t="s">
        <v>374</v>
      </c>
      <c r="H100" s="117" t="s">
        <v>374</v>
      </c>
      <c r="I100" s="117" t="s">
        <v>374</v>
      </c>
      <c r="J100" s="117" t="s">
        <v>374</v>
      </c>
      <c r="K100" s="117" t="s">
        <v>374</v>
      </c>
      <c r="L100" s="117" t="s">
        <v>374</v>
      </c>
      <c r="M100" s="117" t="s">
        <v>374</v>
      </c>
      <c r="N100" s="118" t="s">
        <v>374</v>
      </c>
      <c r="O100" s="65" t="s">
        <v>374</v>
      </c>
      <c r="P100" s="65" t="s">
        <v>374</v>
      </c>
    </row>
    <row r="101" spans="1:16" ht="15.75" customHeight="1">
      <c r="A101" s="120" t="s">
        <v>426</v>
      </c>
      <c r="B101" s="26">
        <f t="shared" si="2"/>
        <v>2790</v>
      </c>
      <c r="C101" s="117" t="s">
        <v>374</v>
      </c>
      <c r="D101" s="117" t="s">
        <v>374</v>
      </c>
      <c r="E101" s="117" t="s">
        <v>374</v>
      </c>
      <c r="F101" s="65">
        <f>'c-14'!C40</f>
        <v>2790</v>
      </c>
      <c r="G101" s="64" t="s">
        <v>374</v>
      </c>
      <c r="H101" s="117" t="s">
        <v>374</v>
      </c>
      <c r="I101" s="117" t="s">
        <v>374</v>
      </c>
      <c r="J101" s="117" t="s">
        <v>374</v>
      </c>
      <c r="K101" s="117" t="s">
        <v>374</v>
      </c>
      <c r="L101" s="117" t="s">
        <v>374</v>
      </c>
      <c r="M101" s="117" t="s">
        <v>374</v>
      </c>
      <c r="N101" s="118" t="s">
        <v>374</v>
      </c>
      <c r="O101" s="65" t="s">
        <v>374</v>
      </c>
      <c r="P101" s="65" t="s">
        <v>374</v>
      </c>
    </row>
    <row r="102" spans="1:16" ht="15.75" customHeight="1">
      <c r="A102" s="120" t="s">
        <v>427</v>
      </c>
      <c r="B102" s="26">
        <f t="shared" si="2"/>
        <v>1240</v>
      </c>
      <c r="C102" s="117" t="s">
        <v>374</v>
      </c>
      <c r="D102" s="117" t="s">
        <v>374</v>
      </c>
      <c r="E102" s="117" t="s">
        <v>374</v>
      </c>
      <c r="F102" s="65">
        <f>'c-14'!C52</f>
        <v>1240</v>
      </c>
      <c r="G102" s="64" t="s">
        <v>374</v>
      </c>
      <c r="H102" s="117" t="s">
        <v>374</v>
      </c>
      <c r="I102" s="117" t="s">
        <v>374</v>
      </c>
      <c r="J102" s="117" t="s">
        <v>374</v>
      </c>
      <c r="K102" s="117" t="s">
        <v>374</v>
      </c>
      <c r="L102" s="117" t="s">
        <v>374</v>
      </c>
      <c r="M102" s="117" t="s">
        <v>374</v>
      </c>
      <c r="N102" s="118" t="s">
        <v>374</v>
      </c>
      <c r="O102" s="65" t="s">
        <v>374</v>
      </c>
      <c r="P102" s="65" t="s">
        <v>374</v>
      </c>
    </row>
    <row r="103" spans="1:16" ht="15.75" customHeight="1">
      <c r="A103" s="120" t="s">
        <v>890</v>
      </c>
      <c r="B103" s="26">
        <f>SUM(C103:P103)</f>
        <v>872</v>
      </c>
      <c r="C103" s="117" t="s">
        <v>374</v>
      </c>
      <c r="D103" s="117" t="s">
        <v>374</v>
      </c>
      <c r="E103" s="117" t="s">
        <v>374</v>
      </c>
      <c r="F103" s="65">
        <f>'c-14'!C65</f>
        <v>872</v>
      </c>
      <c r="G103" s="64" t="s">
        <v>374</v>
      </c>
      <c r="H103" s="117" t="s">
        <v>374</v>
      </c>
      <c r="I103" s="117" t="s">
        <v>374</v>
      </c>
      <c r="J103" s="117" t="s">
        <v>374</v>
      </c>
      <c r="K103" s="117" t="s">
        <v>374</v>
      </c>
      <c r="L103" s="117" t="s">
        <v>374</v>
      </c>
      <c r="M103" s="117" t="s">
        <v>374</v>
      </c>
      <c r="N103" s="118" t="s">
        <v>374</v>
      </c>
      <c r="O103" s="65" t="s">
        <v>374</v>
      </c>
      <c r="P103" s="65" t="s">
        <v>374</v>
      </c>
    </row>
    <row r="104" spans="1:16" ht="15.75" customHeight="1">
      <c r="A104" s="120" t="s">
        <v>1017</v>
      </c>
      <c r="B104" s="26">
        <f t="shared" si="2"/>
        <v>1507</v>
      </c>
      <c r="C104" s="117" t="s">
        <v>374</v>
      </c>
      <c r="D104" s="117" t="s">
        <v>374</v>
      </c>
      <c r="E104" s="117" t="s">
        <v>374</v>
      </c>
      <c r="F104" s="65">
        <f>'c-14'!C68</f>
        <v>1507</v>
      </c>
      <c r="G104" s="64" t="s">
        <v>374</v>
      </c>
      <c r="H104" s="117" t="s">
        <v>374</v>
      </c>
      <c r="I104" s="117" t="s">
        <v>374</v>
      </c>
      <c r="J104" s="117" t="s">
        <v>374</v>
      </c>
      <c r="K104" s="117" t="s">
        <v>374</v>
      </c>
      <c r="L104" s="117" t="s">
        <v>374</v>
      </c>
      <c r="M104" s="117" t="s">
        <v>374</v>
      </c>
      <c r="N104" s="118" t="s">
        <v>374</v>
      </c>
      <c r="O104" s="65" t="s">
        <v>374</v>
      </c>
      <c r="P104" s="65" t="s">
        <v>374</v>
      </c>
    </row>
    <row r="105" spans="1:16" ht="15.75" customHeight="1">
      <c r="A105" s="120"/>
      <c r="B105" s="64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117"/>
      <c r="N105" s="118"/>
      <c r="O105" s="65"/>
      <c r="P105" s="65"/>
    </row>
    <row r="106" spans="1:16" ht="15.75" customHeight="1">
      <c r="A106" s="106" t="s">
        <v>230</v>
      </c>
      <c r="B106" s="62">
        <f>SUM(B108:B119)</f>
        <v>22945</v>
      </c>
      <c r="C106" s="97" t="s">
        <v>374</v>
      </c>
      <c r="D106" s="97" t="s">
        <v>374</v>
      </c>
      <c r="E106" s="97" t="s">
        <v>374</v>
      </c>
      <c r="F106" s="97" t="s">
        <v>374</v>
      </c>
      <c r="G106" s="62" t="s">
        <v>374</v>
      </c>
      <c r="H106" s="97" t="s">
        <v>374</v>
      </c>
      <c r="I106" s="97" t="s">
        <v>374</v>
      </c>
      <c r="J106" s="97" t="s">
        <v>374</v>
      </c>
      <c r="K106" s="97" t="s">
        <v>374</v>
      </c>
      <c r="L106" s="97" t="s">
        <v>374</v>
      </c>
      <c r="M106" s="97" t="s">
        <v>374</v>
      </c>
      <c r="N106" s="63">
        <f>SUM(N108:N119)</f>
        <v>22945</v>
      </c>
      <c r="O106" s="112" t="s">
        <v>374</v>
      </c>
      <c r="P106" s="112" t="s">
        <v>374</v>
      </c>
    </row>
    <row r="107" spans="1:16" ht="15.75" customHeight="1">
      <c r="A107" s="120"/>
      <c r="B107" s="64"/>
      <c r="C107" s="51"/>
      <c r="D107" s="51"/>
      <c r="E107" s="51"/>
      <c r="F107" s="117"/>
      <c r="G107" s="51"/>
      <c r="H107" s="51"/>
      <c r="I107" s="51"/>
      <c r="J107" s="51"/>
      <c r="K107" s="51"/>
      <c r="L107" s="117"/>
      <c r="M107" s="51"/>
      <c r="N107" s="118"/>
      <c r="O107" s="65"/>
      <c r="P107" s="65"/>
    </row>
    <row r="108" spans="1:16" ht="15.75" customHeight="1">
      <c r="A108" s="120" t="s">
        <v>891</v>
      </c>
      <c r="B108" s="26">
        <f t="shared" ref="B108:B119" si="3">SUM(C108:P108)</f>
        <v>1243</v>
      </c>
      <c r="C108" s="117" t="s">
        <v>374</v>
      </c>
      <c r="D108" s="117" t="s">
        <v>374</v>
      </c>
      <c r="E108" s="117" t="s">
        <v>374</v>
      </c>
      <c r="F108" s="117" t="s">
        <v>374</v>
      </c>
      <c r="G108" s="117" t="s">
        <v>374</v>
      </c>
      <c r="H108" s="117" t="s">
        <v>374</v>
      </c>
      <c r="I108" s="117" t="s">
        <v>374</v>
      </c>
      <c r="J108" s="117" t="s">
        <v>374</v>
      </c>
      <c r="K108" s="117" t="s">
        <v>374</v>
      </c>
      <c r="L108" s="117" t="s">
        <v>374</v>
      </c>
      <c r="M108" s="117" t="s">
        <v>374</v>
      </c>
      <c r="N108" s="65">
        <f>'c-16'!C12</f>
        <v>1243</v>
      </c>
      <c r="O108" s="65" t="s">
        <v>374</v>
      </c>
      <c r="P108" s="65" t="s">
        <v>374</v>
      </c>
    </row>
    <row r="109" spans="1:16" ht="15.75" customHeight="1">
      <c r="A109" s="120" t="s">
        <v>468</v>
      </c>
      <c r="B109" s="26">
        <f t="shared" si="3"/>
        <v>4698</v>
      </c>
      <c r="C109" s="117" t="s">
        <v>374</v>
      </c>
      <c r="D109" s="117" t="s">
        <v>374</v>
      </c>
      <c r="E109" s="117" t="s">
        <v>374</v>
      </c>
      <c r="F109" s="117" t="s">
        <v>374</v>
      </c>
      <c r="G109" s="117" t="s">
        <v>374</v>
      </c>
      <c r="H109" s="117" t="s">
        <v>374</v>
      </c>
      <c r="I109" s="117" t="s">
        <v>374</v>
      </c>
      <c r="J109" s="117" t="s">
        <v>374</v>
      </c>
      <c r="K109" s="117" t="s">
        <v>374</v>
      </c>
      <c r="L109" s="117" t="s">
        <v>374</v>
      </c>
      <c r="M109" s="117" t="s">
        <v>374</v>
      </c>
      <c r="N109" s="65">
        <f>'c-16'!C20</f>
        <v>4698</v>
      </c>
      <c r="O109" s="65" t="s">
        <v>374</v>
      </c>
      <c r="P109" s="65" t="s">
        <v>374</v>
      </c>
    </row>
    <row r="110" spans="1:16" ht="15.75" customHeight="1">
      <c r="A110" s="120" t="s">
        <v>892</v>
      </c>
      <c r="B110" s="26">
        <f t="shared" si="3"/>
        <v>1797</v>
      </c>
      <c r="C110" s="117" t="s">
        <v>374</v>
      </c>
      <c r="D110" s="117" t="s">
        <v>374</v>
      </c>
      <c r="E110" s="117" t="s">
        <v>374</v>
      </c>
      <c r="F110" s="117" t="s">
        <v>374</v>
      </c>
      <c r="G110" s="117" t="s">
        <v>374</v>
      </c>
      <c r="H110" s="117" t="s">
        <v>374</v>
      </c>
      <c r="I110" s="117" t="s">
        <v>374</v>
      </c>
      <c r="J110" s="117" t="s">
        <v>374</v>
      </c>
      <c r="K110" s="117" t="s">
        <v>374</v>
      </c>
      <c r="L110" s="117" t="s">
        <v>374</v>
      </c>
      <c r="M110" s="117" t="s">
        <v>374</v>
      </c>
      <c r="N110" s="65">
        <f>'c-16'!C23</f>
        <v>1797</v>
      </c>
      <c r="O110" s="65" t="s">
        <v>374</v>
      </c>
      <c r="P110" s="65" t="s">
        <v>374</v>
      </c>
    </row>
    <row r="111" spans="1:16" ht="15.75" customHeight="1">
      <c r="A111" s="120" t="s">
        <v>893</v>
      </c>
      <c r="B111" s="26">
        <f t="shared" si="3"/>
        <v>1744</v>
      </c>
      <c r="C111" s="117" t="s">
        <v>374</v>
      </c>
      <c r="D111" s="117" t="s">
        <v>374</v>
      </c>
      <c r="E111" s="117" t="s">
        <v>374</v>
      </c>
      <c r="F111" s="117" t="s">
        <v>374</v>
      </c>
      <c r="G111" s="117" t="s">
        <v>374</v>
      </c>
      <c r="H111" s="117" t="s">
        <v>374</v>
      </c>
      <c r="I111" s="117" t="s">
        <v>374</v>
      </c>
      <c r="J111" s="117" t="s">
        <v>374</v>
      </c>
      <c r="K111" s="117" t="s">
        <v>374</v>
      </c>
      <c r="L111" s="117" t="s">
        <v>374</v>
      </c>
      <c r="M111" s="117" t="s">
        <v>374</v>
      </c>
      <c r="N111" s="65">
        <f>'c-16'!C25</f>
        <v>1744</v>
      </c>
      <c r="O111" s="65" t="s">
        <v>374</v>
      </c>
      <c r="P111" s="65" t="s">
        <v>374</v>
      </c>
    </row>
    <row r="112" spans="1:16" ht="15.75" customHeight="1">
      <c r="A112" s="120" t="s">
        <v>894</v>
      </c>
      <c r="B112" s="26">
        <f t="shared" si="3"/>
        <v>1456</v>
      </c>
      <c r="C112" s="117" t="s">
        <v>374</v>
      </c>
      <c r="D112" s="117" t="s">
        <v>374</v>
      </c>
      <c r="E112" s="117" t="s">
        <v>374</v>
      </c>
      <c r="F112" s="117" t="s">
        <v>374</v>
      </c>
      <c r="G112" s="117" t="s">
        <v>374</v>
      </c>
      <c r="H112" s="117" t="s">
        <v>374</v>
      </c>
      <c r="I112" s="117" t="s">
        <v>374</v>
      </c>
      <c r="J112" s="117" t="s">
        <v>374</v>
      </c>
      <c r="K112" s="117" t="s">
        <v>374</v>
      </c>
      <c r="L112" s="117" t="s">
        <v>374</v>
      </c>
      <c r="M112" s="117" t="s">
        <v>374</v>
      </c>
      <c r="N112" s="65">
        <f>'c-16'!C96</f>
        <v>1456</v>
      </c>
      <c r="O112" s="65" t="s">
        <v>374</v>
      </c>
      <c r="P112" s="65" t="s">
        <v>374</v>
      </c>
    </row>
    <row r="113" spans="1:16" ht="15.75" customHeight="1">
      <c r="A113" s="120" t="s">
        <v>450</v>
      </c>
      <c r="B113" s="26">
        <f t="shared" si="3"/>
        <v>3416</v>
      </c>
      <c r="C113" s="117" t="s">
        <v>374</v>
      </c>
      <c r="D113" s="117" t="s">
        <v>374</v>
      </c>
      <c r="E113" s="117" t="s">
        <v>374</v>
      </c>
      <c r="F113" s="117" t="s">
        <v>374</v>
      </c>
      <c r="G113" s="117" t="s">
        <v>374</v>
      </c>
      <c r="H113" s="117" t="s">
        <v>374</v>
      </c>
      <c r="I113" s="117" t="s">
        <v>374</v>
      </c>
      <c r="J113" s="117" t="s">
        <v>374</v>
      </c>
      <c r="K113" s="117" t="s">
        <v>374</v>
      </c>
      <c r="L113" s="117" t="s">
        <v>374</v>
      </c>
      <c r="M113" s="117" t="s">
        <v>374</v>
      </c>
      <c r="N113" s="65">
        <f>'c-16'!C30</f>
        <v>3416</v>
      </c>
      <c r="O113" s="65" t="s">
        <v>374</v>
      </c>
      <c r="P113" s="65" t="s">
        <v>374</v>
      </c>
    </row>
    <row r="114" spans="1:16" ht="15.75" customHeight="1">
      <c r="A114" s="120" t="s">
        <v>895</v>
      </c>
      <c r="B114" s="26">
        <f t="shared" si="3"/>
        <v>1195</v>
      </c>
      <c r="C114" s="117" t="s">
        <v>374</v>
      </c>
      <c r="D114" s="117" t="s">
        <v>374</v>
      </c>
      <c r="E114" s="117" t="s">
        <v>374</v>
      </c>
      <c r="F114" s="117" t="s">
        <v>374</v>
      </c>
      <c r="G114" s="117" t="s">
        <v>374</v>
      </c>
      <c r="H114" s="117" t="s">
        <v>374</v>
      </c>
      <c r="I114" s="117" t="s">
        <v>374</v>
      </c>
      <c r="J114" s="117" t="s">
        <v>374</v>
      </c>
      <c r="K114" s="117" t="s">
        <v>374</v>
      </c>
      <c r="L114" s="117" t="s">
        <v>374</v>
      </c>
      <c r="M114" s="117" t="s">
        <v>374</v>
      </c>
      <c r="N114" s="65">
        <f>'c-16'!C37</f>
        <v>1195</v>
      </c>
      <c r="O114" s="65" t="s">
        <v>374</v>
      </c>
      <c r="P114" s="65" t="s">
        <v>374</v>
      </c>
    </row>
    <row r="115" spans="1:16" ht="15.75" customHeight="1">
      <c r="A115" s="120" t="s">
        <v>451</v>
      </c>
      <c r="B115" s="26">
        <f t="shared" si="3"/>
        <v>1807</v>
      </c>
      <c r="C115" s="117" t="s">
        <v>374</v>
      </c>
      <c r="D115" s="117" t="s">
        <v>374</v>
      </c>
      <c r="E115" s="117" t="s">
        <v>374</v>
      </c>
      <c r="F115" s="117" t="s">
        <v>374</v>
      </c>
      <c r="G115" s="117" t="s">
        <v>374</v>
      </c>
      <c r="H115" s="117" t="s">
        <v>374</v>
      </c>
      <c r="I115" s="117" t="s">
        <v>374</v>
      </c>
      <c r="J115" s="117" t="s">
        <v>374</v>
      </c>
      <c r="K115" s="117" t="s">
        <v>374</v>
      </c>
      <c r="L115" s="117" t="s">
        <v>374</v>
      </c>
      <c r="M115" s="117" t="s">
        <v>374</v>
      </c>
      <c r="N115" s="65">
        <f>'c-16'!C53</f>
        <v>1807</v>
      </c>
      <c r="O115" s="65" t="s">
        <v>374</v>
      </c>
      <c r="P115" s="65" t="s">
        <v>374</v>
      </c>
    </row>
    <row r="116" spans="1:16" ht="15.75" customHeight="1">
      <c r="A116" s="120" t="s">
        <v>426</v>
      </c>
      <c r="B116" s="26">
        <f t="shared" si="3"/>
        <v>2073</v>
      </c>
      <c r="C116" s="117" t="s">
        <v>374</v>
      </c>
      <c r="D116" s="117" t="s">
        <v>374</v>
      </c>
      <c r="E116" s="117" t="s">
        <v>374</v>
      </c>
      <c r="F116" s="117" t="s">
        <v>374</v>
      </c>
      <c r="G116" s="117" t="s">
        <v>374</v>
      </c>
      <c r="H116" s="117" t="s">
        <v>374</v>
      </c>
      <c r="I116" s="117" t="s">
        <v>374</v>
      </c>
      <c r="J116" s="117" t="s">
        <v>374</v>
      </c>
      <c r="K116" s="117" t="s">
        <v>374</v>
      </c>
      <c r="L116" s="117" t="s">
        <v>374</v>
      </c>
      <c r="M116" s="117" t="s">
        <v>374</v>
      </c>
      <c r="N116" s="65">
        <f>'c-16'!C62</f>
        <v>2073</v>
      </c>
      <c r="O116" s="65" t="s">
        <v>374</v>
      </c>
      <c r="P116" s="65" t="s">
        <v>374</v>
      </c>
    </row>
    <row r="117" spans="1:16" ht="15.75" customHeight="1">
      <c r="A117" s="120" t="s">
        <v>427</v>
      </c>
      <c r="B117" s="26">
        <f t="shared" si="3"/>
        <v>1696</v>
      </c>
      <c r="C117" s="117" t="s">
        <v>374</v>
      </c>
      <c r="D117" s="117" t="s">
        <v>374</v>
      </c>
      <c r="E117" s="117" t="s">
        <v>374</v>
      </c>
      <c r="F117" s="117" t="s">
        <v>374</v>
      </c>
      <c r="G117" s="117" t="s">
        <v>374</v>
      </c>
      <c r="H117" s="117" t="s">
        <v>374</v>
      </c>
      <c r="I117" s="117" t="s">
        <v>374</v>
      </c>
      <c r="J117" s="117" t="s">
        <v>374</v>
      </c>
      <c r="K117" s="117" t="s">
        <v>374</v>
      </c>
      <c r="L117" s="117" t="s">
        <v>374</v>
      </c>
      <c r="M117" s="117" t="s">
        <v>374</v>
      </c>
      <c r="N117" s="65">
        <f>'c-16'!C86</f>
        <v>1696</v>
      </c>
      <c r="O117" s="65" t="s">
        <v>374</v>
      </c>
      <c r="P117" s="65" t="s">
        <v>374</v>
      </c>
    </row>
    <row r="118" spans="1:16" s="91" customFormat="1" ht="15.75" customHeight="1">
      <c r="A118" s="120" t="s">
        <v>896</v>
      </c>
      <c r="B118" s="26">
        <f t="shared" si="3"/>
        <v>805</v>
      </c>
      <c r="C118" s="117" t="s">
        <v>374</v>
      </c>
      <c r="D118" s="117" t="s">
        <v>374</v>
      </c>
      <c r="E118" s="117" t="s">
        <v>374</v>
      </c>
      <c r="F118" s="117" t="s">
        <v>374</v>
      </c>
      <c r="G118" s="117" t="s">
        <v>374</v>
      </c>
      <c r="H118" s="117" t="s">
        <v>374</v>
      </c>
      <c r="I118" s="117" t="s">
        <v>374</v>
      </c>
      <c r="J118" s="117" t="s">
        <v>374</v>
      </c>
      <c r="K118" s="117" t="s">
        <v>374</v>
      </c>
      <c r="L118" s="117" t="s">
        <v>374</v>
      </c>
      <c r="M118" s="117" t="s">
        <v>374</v>
      </c>
      <c r="N118" s="65">
        <f>'c-16'!C107</f>
        <v>805</v>
      </c>
      <c r="O118" s="65" t="s">
        <v>374</v>
      </c>
      <c r="P118" s="65" t="s">
        <v>374</v>
      </c>
    </row>
    <row r="119" spans="1:16" ht="15.75" customHeight="1">
      <c r="A119" s="120" t="s">
        <v>897</v>
      </c>
      <c r="B119" s="26">
        <f t="shared" si="3"/>
        <v>1015</v>
      </c>
      <c r="C119" s="117" t="s">
        <v>374</v>
      </c>
      <c r="D119" s="117" t="s">
        <v>374</v>
      </c>
      <c r="E119" s="117" t="s">
        <v>374</v>
      </c>
      <c r="F119" s="117" t="s">
        <v>374</v>
      </c>
      <c r="G119" s="117" t="s">
        <v>374</v>
      </c>
      <c r="H119" s="117" t="s">
        <v>374</v>
      </c>
      <c r="I119" s="117" t="s">
        <v>374</v>
      </c>
      <c r="J119" s="117" t="s">
        <v>374</v>
      </c>
      <c r="K119" s="117" t="s">
        <v>374</v>
      </c>
      <c r="L119" s="117" t="s">
        <v>374</v>
      </c>
      <c r="M119" s="117" t="s">
        <v>374</v>
      </c>
      <c r="N119" s="65">
        <f>'c-16'!C112</f>
        <v>1015</v>
      </c>
      <c r="O119" s="65" t="s">
        <v>374</v>
      </c>
      <c r="P119" s="65" t="s">
        <v>374</v>
      </c>
    </row>
    <row r="120" spans="1:16" ht="15.75" customHeight="1">
      <c r="A120" s="120"/>
      <c r="B120" s="64"/>
      <c r="C120" s="117"/>
      <c r="D120" s="117"/>
      <c r="E120" s="117"/>
      <c r="F120" s="117"/>
      <c r="G120" s="117"/>
      <c r="H120" s="117"/>
      <c r="I120" s="117"/>
      <c r="J120" s="117"/>
      <c r="K120" s="117"/>
      <c r="L120" s="117"/>
      <c r="M120" s="117"/>
      <c r="N120" s="118"/>
      <c r="O120" s="65"/>
      <c r="P120" s="65"/>
    </row>
    <row r="121" spans="1:16" ht="15.75" customHeight="1">
      <c r="A121" s="106" t="s">
        <v>898</v>
      </c>
      <c r="B121" s="62">
        <f>SUM(B123:B132)</f>
        <v>2411</v>
      </c>
      <c r="C121" s="97" t="s">
        <v>374</v>
      </c>
      <c r="D121" s="97" t="s">
        <v>374</v>
      </c>
      <c r="E121" s="97" t="s">
        <v>374</v>
      </c>
      <c r="F121" s="97" t="s">
        <v>374</v>
      </c>
      <c r="G121" s="62">
        <f>SUM(G123:G132)</f>
        <v>2411</v>
      </c>
      <c r="H121" s="97" t="s">
        <v>374</v>
      </c>
      <c r="I121" s="97" t="s">
        <v>374</v>
      </c>
      <c r="J121" s="97" t="s">
        <v>374</v>
      </c>
      <c r="K121" s="97" t="s">
        <v>374</v>
      </c>
      <c r="L121" s="97" t="s">
        <v>374</v>
      </c>
      <c r="M121" s="97" t="s">
        <v>374</v>
      </c>
      <c r="N121" s="98" t="s">
        <v>374</v>
      </c>
      <c r="O121" s="112" t="s">
        <v>374</v>
      </c>
      <c r="P121" s="112" t="s">
        <v>374</v>
      </c>
    </row>
    <row r="122" spans="1:16" ht="15.75" customHeight="1">
      <c r="A122" s="120"/>
      <c r="B122" s="64"/>
      <c r="C122" s="51"/>
      <c r="D122" s="51"/>
      <c r="E122" s="51"/>
      <c r="F122" s="51"/>
      <c r="G122" s="64"/>
      <c r="H122" s="51"/>
      <c r="I122" s="117"/>
      <c r="J122" s="51"/>
      <c r="K122" s="51"/>
      <c r="L122" s="117"/>
      <c r="M122" s="51"/>
      <c r="N122" s="21"/>
      <c r="O122" s="65"/>
      <c r="P122" s="65"/>
    </row>
    <row r="123" spans="1:16" s="123" customFormat="1" ht="15.75" customHeight="1">
      <c r="A123" s="120" t="s">
        <v>522</v>
      </c>
      <c r="B123" s="26">
        <f t="shared" ref="B123:B132" si="4">SUM(C123:P123)</f>
        <v>185</v>
      </c>
      <c r="C123" s="51" t="s">
        <v>374</v>
      </c>
      <c r="D123" s="51" t="s">
        <v>374</v>
      </c>
      <c r="E123" s="51"/>
      <c r="F123" s="51" t="s">
        <v>374</v>
      </c>
      <c r="G123" s="64">
        <f>'c-12'!C12</f>
        <v>185</v>
      </c>
      <c r="H123" s="51" t="s">
        <v>374</v>
      </c>
      <c r="I123" s="51" t="s">
        <v>374</v>
      </c>
      <c r="J123" s="51" t="s">
        <v>374</v>
      </c>
      <c r="K123" s="51" t="s">
        <v>374</v>
      </c>
      <c r="L123" s="117" t="s">
        <v>374</v>
      </c>
      <c r="M123" s="51" t="s">
        <v>374</v>
      </c>
      <c r="N123" s="21" t="s">
        <v>374</v>
      </c>
      <c r="O123" s="65"/>
      <c r="P123" s="65"/>
    </row>
    <row r="124" spans="1:16" ht="15.75" customHeight="1">
      <c r="A124" s="120" t="s">
        <v>156</v>
      </c>
      <c r="B124" s="26">
        <f t="shared" si="4"/>
        <v>128</v>
      </c>
      <c r="C124" s="51" t="s">
        <v>374</v>
      </c>
      <c r="D124" s="51" t="s">
        <v>374</v>
      </c>
      <c r="E124" s="51"/>
      <c r="F124" s="51" t="s">
        <v>374</v>
      </c>
      <c r="G124" s="64">
        <f>'c-12'!C38</f>
        <v>128</v>
      </c>
      <c r="H124" s="51" t="s">
        <v>374</v>
      </c>
      <c r="I124" s="51" t="s">
        <v>374</v>
      </c>
      <c r="J124" s="51" t="s">
        <v>374</v>
      </c>
      <c r="K124" s="51" t="s">
        <v>374</v>
      </c>
      <c r="L124" s="117" t="s">
        <v>374</v>
      </c>
      <c r="M124" s="51" t="s">
        <v>374</v>
      </c>
      <c r="N124" s="21" t="s">
        <v>374</v>
      </c>
      <c r="O124" s="65"/>
      <c r="P124" s="65"/>
    </row>
    <row r="125" spans="1:16" ht="15.75" customHeight="1">
      <c r="A125" s="120" t="s">
        <v>523</v>
      </c>
      <c r="B125" s="26">
        <f t="shared" si="4"/>
        <v>212</v>
      </c>
      <c r="C125" s="51" t="s">
        <v>374</v>
      </c>
      <c r="D125" s="51" t="s">
        <v>374</v>
      </c>
      <c r="E125" s="51"/>
      <c r="F125" s="51" t="s">
        <v>374</v>
      </c>
      <c r="G125" s="64">
        <f>'c-12'!C25</f>
        <v>212</v>
      </c>
      <c r="H125" s="51" t="s">
        <v>374</v>
      </c>
      <c r="I125" s="51" t="s">
        <v>374</v>
      </c>
      <c r="J125" s="51" t="s">
        <v>374</v>
      </c>
      <c r="K125" s="51" t="s">
        <v>374</v>
      </c>
      <c r="L125" s="117" t="s">
        <v>374</v>
      </c>
      <c r="M125" s="51" t="s">
        <v>374</v>
      </c>
      <c r="N125" s="21" t="s">
        <v>374</v>
      </c>
      <c r="O125" s="65"/>
      <c r="P125" s="65"/>
    </row>
    <row r="126" spans="1:16" ht="15.75" customHeight="1">
      <c r="A126" s="120" t="s">
        <v>524</v>
      </c>
      <c r="B126" s="26">
        <f t="shared" si="4"/>
        <v>231</v>
      </c>
      <c r="C126" s="51" t="s">
        <v>374</v>
      </c>
      <c r="D126" s="51" t="s">
        <v>374</v>
      </c>
      <c r="E126" s="51" t="s">
        <v>374</v>
      </c>
      <c r="F126" s="51" t="s">
        <v>374</v>
      </c>
      <c r="G126" s="24">
        <f>'c-12'!C15</f>
        <v>231</v>
      </c>
      <c r="H126" s="51" t="s">
        <v>374</v>
      </c>
      <c r="I126" s="51" t="s">
        <v>374</v>
      </c>
      <c r="J126" s="51" t="s">
        <v>374</v>
      </c>
      <c r="K126" s="51" t="s">
        <v>374</v>
      </c>
      <c r="L126" s="51" t="s">
        <v>374</v>
      </c>
      <c r="M126" s="51" t="s">
        <v>374</v>
      </c>
      <c r="N126" s="21" t="s">
        <v>374</v>
      </c>
      <c r="O126" s="65" t="s">
        <v>374</v>
      </c>
      <c r="P126" s="65" t="s">
        <v>374</v>
      </c>
    </row>
    <row r="127" spans="1:16" ht="15.75" customHeight="1">
      <c r="A127" s="120" t="s">
        <v>158</v>
      </c>
      <c r="B127" s="26">
        <f t="shared" si="4"/>
        <v>222</v>
      </c>
      <c r="C127" s="51" t="s">
        <v>374</v>
      </c>
      <c r="D127" s="51" t="s">
        <v>374</v>
      </c>
      <c r="E127" s="51" t="s">
        <v>374</v>
      </c>
      <c r="F127" s="51" t="s">
        <v>374</v>
      </c>
      <c r="G127" s="24">
        <f>'c-12'!C18</f>
        <v>222</v>
      </c>
      <c r="H127" s="51" t="s">
        <v>374</v>
      </c>
      <c r="I127" s="51" t="s">
        <v>374</v>
      </c>
      <c r="J127" s="51" t="s">
        <v>374</v>
      </c>
      <c r="K127" s="51" t="s">
        <v>374</v>
      </c>
      <c r="L127" s="51" t="s">
        <v>374</v>
      </c>
      <c r="M127" s="51" t="s">
        <v>374</v>
      </c>
      <c r="N127" s="21" t="s">
        <v>374</v>
      </c>
      <c r="O127" s="65" t="s">
        <v>374</v>
      </c>
      <c r="P127" s="65" t="s">
        <v>374</v>
      </c>
    </row>
    <row r="128" spans="1:16" ht="15.75" customHeight="1">
      <c r="A128" s="120" t="s">
        <v>159</v>
      </c>
      <c r="B128" s="26">
        <f t="shared" si="4"/>
        <v>207</v>
      </c>
      <c r="C128" s="51" t="s">
        <v>374</v>
      </c>
      <c r="D128" s="51" t="s">
        <v>374</v>
      </c>
      <c r="E128" s="51" t="s">
        <v>374</v>
      </c>
      <c r="F128" s="51" t="s">
        <v>374</v>
      </c>
      <c r="G128" s="24">
        <f>'c-12'!C29</f>
        <v>207</v>
      </c>
      <c r="H128" s="51" t="s">
        <v>374</v>
      </c>
      <c r="I128" s="51" t="s">
        <v>374</v>
      </c>
      <c r="J128" s="51" t="s">
        <v>374</v>
      </c>
      <c r="K128" s="51" t="s">
        <v>374</v>
      </c>
      <c r="L128" s="51" t="s">
        <v>374</v>
      </c>
      <c r="M128" s="51" t="s">
        <v>374</v>
      </c>
      <c r="N128" s="21" t="s">
        <v>374</v>
      </c>
      <c r="O128" s="65" t="s">
        <v>374</v>
      </c>
      <c r="P128" s="65" t="s">
        <v>374</v>
      </c>
    </row>
    <row r="129" spans="1:18" ht="15.75" customHeight="1">
      <c r="A129" s="120" t="s">
        <v>160</v>
      </c>
      <c r="B129" s="26">
        <f t="shared" si="4"/>
        <v>275</v>
      </c>
      <c r="C129" s="51" t="s">
        <v>374</v>
      </c>
      <c r="D129" s="51" t="s">
        <v>374</v>
      </c>
      <c r="E129" s="51" t="s">
        <v>374</v>
      </c>
      <c r="F129" s="51" t="s">
        <v>374</v>
      </c>
      <c r="G129" s="24">
        <f>'c-12'!C32</f>
        <v>275</v>
      </c>
      <c r="H129" s="51" t="s">
        <v>374</v>
      </c>
      <c r="I129" s="51" t="s">
        <v>374</v>
      </c>
      <c r="J129" s="51" t="s">
        <v>374</v>
      </c>
      <c r="K129" s="51" t="s">
        <v>374</v>
      </c>
      <c r="L129" s="51" t="s">
        <v>374</v>
      </c>
      <c r="M129" s="51" t="s">
        <v>374</v>
      </c>
      <c r="N129" s="21" t="s">
        <v>374</v>
      </c>
      <c r="O129" s="65" t="s">
        <v>374</v>
      </c>
      <c r="P129" s="65" t="s">
        <v>374</v>
      </c>
    </row>
    <row r="130" spans="1:18" ht="15.75" customHeight="1">
      <c r="A130" s="116" t="s">
        <v>161</v>
      </c>
      <c r="B130" s="26">
        <f t="shared" si="4"/>
        <v>287</v>
      </c>
      <c r="C130" s="65" t="s">
        <v>374</v>
      </c>
      <c r="D130" s="26" t="s">
        <v>374</v>
      </c>
      <c r="E130" s="65" t="s">
        <v>374</v>
      </c>
      <c r="F130" s="65" t="s">
        <v>374</v>
      </c>
      <c r="G130" s="134">
        <f>'c-12'!C42</f>
        <v>287</v>
      </c>
      <c r="H130" s="65" t="s">
        <v>374</v>
      </c>
      <c r="I130" s="65" t="s">
        <v>374</v>
      </c>
      <c r="J130" s="26" t="s">
        <v>374</v>
      </c>
      <c r="K130" s="65" t="s">
        <v>374</v>
      </c>
      <c r="L130" s="65" t="s">
        <v>374</v>
      </c>
      <c r="M130" s="65" t="s">
        <v>374</v>
      </c>
      <c r="N130" s="65" t="s">
        <v>374</v>
      </c>
      <c r="O130" s="65" t="s">
        <v>374</v>
      </c>
      <c r="P130" s="65" t="s">
        <v>374</v>
      </c>
    </row>
    <row r="131" spans="1:18" ht="15.75" customHeight="1">
      <c r="A131" s="120" t="s">
        <v>162</v>
      </c>
      <c r="B131" s="26">
        <f t="shared" si="4"/>
        <v>373</v>
      </c>
      <c r="C131" s="51" t="s">
        <v>374</v>
      </c>
      <c r="D131" s="51" t="s">
        <v>374</v>
      </c>
      <c r="E131" s="51" t="s">
        <v>374</v>
      </c>
      <c r="F131" s="51" t="s">
        <v>374</v>
      </c>
      <c r="G131" s="24">
        <f>'c-12'!C45</f>
        <v>373</v>
      </c>
      <c r="H131" s="51" t="s">
        <v>374</v>
      </c>
      <c r="I131" s="51" t="s">
        <v>374</v>
      </c>
      <c r="J131" s="51" t="s">
        <v>374</v>
      </c>
      <c r="K131" s="51" t="s">
        <v>374</v>
      </c>
      <c r="L131" s="51" t="s">
        <v>374</v>
      </c>
      <c r="M131" s="51" t="s">
        <v>374</v>
      </c>
      <c r="N131" s="21" t="s">
        <v>374</v>
      </c>
      <c r="O131" s="65" t="s">
        <v>374</v>
      </c>
      <c r="P131" s="65" t="s">
        <v>374</v>
      </c>
    </row>
    <row r="132" spans="1:18" ht="15.75" customHeight="1">
      <c r="A132" s="120" t="s">
        <v>163</v>
      </c>
      <c r="B132" s="26">
        <f t="shared" si="4"/>
        <v>291</v>
      </c>
      <c r="C132" s="51" t="s">
        <v>374</v>
      </c>
      <c r="D132" s="51" t="s">
        <v>374</v>
      </c>
      <c r="E132" s="51" t="s">
        <v>374</v>
      </c>
      <c r="F132" s="51" t="s">
        <v>374</v>
      </c>
      <c r="G132" s="24">
        <f>'c-12'!C48</f>
        <v>291</v>
      </c>
      <c r="H132" s="51" t="s">
        <v>374</v>
      </c>
      <c r="I132" s="51" t="s">
        <v>374</v>
      </c>
      <c r="J132" s="51" t="s">
        <v>374</v>
      </c>
      <c r="K132" s="51" t="s">
        <v>374</v>
      </c>
      <c r="L132" s="51" t="s">
        <v>374</v>
      </c>
      <c r="M132" s="51" t="s">
        <v>374</v>
      </c>
      <c r="N132" s="21" t="s">
        <v>374</v>
      </c>
      <c r="O132" s="65" t="s">
        <v>374</v>
      </c>
      <c r="P132" s="65" t="s">
        <v>374</v>
      </c>
    </row>
    <row r="133" spans="1:18" ht="15.75" customHeight="1">
      <c r="A133" s="143"/>
      <c r="B133" s="71"/>
      <c r="C133" s="71"/>
      <c r="D133" s="71"/>
      <c r="E133" s="71"/>
      <c r="F133" s="71"/>
      <c r="G133" s="136"/>
      <c r="H133" s="71"/>
      <c r="I133" s="71"/>
      <c r="J133" s="124"/>
      <c r="K133" s="71"/>
      <c r="L133" s="71"/>
      <c r="M133" s="71"/>
      <c r="N133" s="71"/>
      <c r="O133" s="71"/>
      <c r="P133" s="71"/>
    </row>
    <row r="134" spans="1:18" ht="15.75" customHeight="1">
      <c r="A134" s="138"/>
      <c r="B134" s="125"/>
      <c r="C134" s="94"/>
      <c r="D134" s="94"/>
      <c r="E134" s="94"/>
      <c r="F134" s="94"/>
      <c r="G134" s="139"/>
      <c r="H134" s="94"/>
      <c r="I134" s="94"/>
      <c r="J134" s="94"/>
      <c r="K134" s="94"/>
      <c r="L134" s="94"/>
      <c r="M134" s="94"/>
      <c r="N134" s="94"/>
      <c r="O134" s="94"/>
      <c r="P134" s="94"/>
    </row>
    <row r="135" spans="1:18" ht="15.75" customHeight="1">
      <c r="A135" s="138"/>
      <c r="B135" s="125"/>
      <c r="C135" s="94"/>
      <c r="D135" s="94"/>
      <c r="E135" s="94"/>
      <c r="F135" s="94"/>
      <c r="G135" s="139"/>
      <c r="H135" s="94"/>
      <c r="I135" s="94"/>
      <c r="J135" s="94"/>
      <c r="K135" s="94"/>
      <c r="L135" s="94"/>
      <c r="M135" s="94"/>
      <c r="N135" s="94"/>
      <c r="O135" s="94"/>
      <c r="P135" s="94"/>
    </row>
    <row r="136" spans="1:18" ht="15.75" customHeight="1">
      <c r="A136" s="93" t="s">
        <v>1039</v>
      </c>
      <c r="B136" s="146"/>
      <c r="C136" s="126"/>
      <c r="D136" s="126"/>
      <c r="E136" s="126"/>
      <c r="F136" s="126"/>
      <c r="G136" s="126"/>
      <c r="H136" s="126"/>
      <c r="I136" s="126"/>
      <c r="J136" s="126"/>
      <c r="K136" s="126"/>
      <c r="L136" s="126"/>
      <c r="M136" s="126"/>
      <c r="N136" s="126"/>
      <c r="O136" s="127"/>
      <c r="P136" s="127"/>
    </row>
    <row r="137" spans="1:18" ht="15.75" customHeight="1">
      <c r="A137" s="128"/>
      <c r="B137" s="96"/>
      <c r="C137" s="454" t="s">
        <v>222</v>
      </c>
      <c r="D137" s="454"/>
      <c r="E137" s="454"/>
      <c r="F137" s="454"/>
      <c r="G137" s="454"/>
      <c r="H137" s="454"/>
      <c r="I137" s="454"/>
      <c r="J137" s="454"/>
      <c r="K137" s="454"/>
      <c r="L137" s="454"/>
      <c r="M137" s="454"/>
      <c r="N137" s="454"/>
      <c r="O137" s="454"/>
      <c r="P137" s="454"/>
    </row>
    <row r="138" spans="1:18" s="91" customFormat="1" ht="15.75" customHeight="1">
      <c r="A138" s="58" t="s">
        <v>359</v>
      </c>
      <c r="B138" s="97" t="s">
        <v>221</v>
      </c>
      <c r="C138" s="97" t="s">
        <v>333</v>
      </c>
      <c r="D138" s="97" t="s">
        <v>360</v>
      </c>
      <c r="E138" s="97" t="s">
        <v>361</v>
      </c>
      <c r="F138" s="97" t="s">
        <v>228</v>
      </c>
      <c r="G138" s="97" t="s">
        <v>362</v>
      </c>
      <c r="H138" s="97" t="s">
        <v>231</v>
      </c>
      <c r="I138" s="97" t="s">
        <v>232</v>
      </c>
      <c r="J138" s="97" t="s">
        <v>363</v>
      </c>
      <c r="K138" s="97" t="s">
        <v>235</v>
      </c>
      <c r="L138" s="97" t="s">
        <v>364</v>
      </c>
      <c r="M138" s="97" t="s">
        <v>365</v>
      </c>
      <c r="N138" s="98" t="s">
        <v>366</v>
      </c>
      <c r="O138" s="63" t="s">
        <v>367</v>
      </c>
      <c r="P138" s="63" t="s">
        <v>368</v>
      </c>
      <c r="R138" s="35"/>
    </row>
    <row r="139" spans="1:18" ht="15.75" customHeight="1">
      <c r="A139" s="129"/>
      <c r="B139" s="101"/>
      <c r="C139" s="101"/>
      <c r="D139" s="101"/>
      <c r="E139" s="102" t="s">
        <v>369</v>
      </c>
      <c r="F139" s="102"/>
      <c r="G139" s="102"/>
      <c r="H139" s="101"/>
      <c r="I139" s="102"/>
      <c r="J139" s="102" t="s">
        <v>370</v>
      </c>
      <c r="K139" s="101"/>
      <c r="L139" s="102" t="s">
        <v>371</v>
      </c>
      <c r="M139" s="102" t="s">
        <v>372</v>
      </c>
      <c r="N139" s="103" t="s">
        <v>373</v>
      </c>
      <c r="O139" s="104" t="s">
        <v>370</v>
      </c>
      <c r="P139" s="105"/>
    </row>
    <row r="140" spans="1:18" ht="15.75" customHeight="1">
      <c r="A140" s="120"/>
      <c r="B140" s="64"/>
      <c r="C140" s="51"/>
      <c r="D140" s="51"/>
      <c r="E140" s="51"/>
      <c r="F140" s="51"/>
      <c r="G140" s="24"/>
      <c r="H140" s="51"/>
      <c r="I140" s="51"/>
      <c r="J140" s="51"/>
      <c r="K140" s="51"/>
      <c r="L140" s="51"/>
      <c r="M140" s="51"/>
      <c r="N140" s="21"/>
      <c r="O140" s="65"/>
      <c r="P140" s="65"/>
    </row>
    <row r="141" spans="1:18" ht="15.75" customHeight="1">
      <c r="A141" s="106" t="s">
        <v>164</v>
      </c>
      <c r="B141" s="62">
        <f>SUM(B143:B151)</f>
        <v>11120</v>
      </c>
      <c r="C141" s="97" t="s">
        <v>374</v>
      </c>
      <c r="D141" s="97" t="s">
        <v>374</v>
      </c>
      <c r="E141" s="97" t="s">
        <v>374</v>
      </c>
      <c r="F141" s="97" t="s">
        <v>374</v>
      </c>
      <c r="G141" s="62" t="s">
        <v>374</v>
      </c>
      <c r="H141" s="97">
        <f>SUM(H143:H151)</f>
        <v>11120</v>
      </c>
      <c r="I141" s="97" t="s">
        <v>374</v>
      </c>
      <c r="J141" s="97" t="s">
        <v>374</v>
      </c>
      <c r="K141" s="97" t="s">
        <v>374</v>
      </c>
      <c r="L141" s="97" t="s">
        <v>374</v>
      </c>
      <c r="M141" s="97" t="s">
        <v>374</v>
      </c>
      <c r="N141" s="98" t="s">
        <v>374</v>
      </c>
      <c r="O141" s="112" t="s">
        <v>374</v>
      </c>
      <c r="P141" s="112" t="s">
        <v>374</v>
      </c>
    </row>
    <row r="142" spans="1:18" ht="15.75" customHeight="1">
      <c r="A142" s="120"/>
      <c r="B142" s="64"/>
      <c r="C142" s="51"/>
      <c r="D142" s="51"/>
      <c r="E142" s="51"/>
      <c r="F142" s="51"/>
      <c r="G142" s="26"/>
      <c r="H142" s="117"/>
      <c r="I142" s="51"/>
      <c r="J142" s="51"/>
      <c r="K142" s="51"/>
      <c r="L142" s="117"/>
      <c r="M142" s="51"/>
      <c r="N142" s="21"/>
      <c r="O142" s="65"/>
      <c r="P142" s="65"/>
    </row>
    <row r="143" spans="1:18" ht="15.75" customHeight="1">
      <c r="A143" s="120" t="s">
        <v>165</v>
      </c>
      <c r="B143" s="26">
        <f t="shared" ref="B143:B151" si="5">SUM(C143:P143)</f>
        <v>2733</v>
      </c>
      <c r="C143" s="117" t="s">
        <v>374</v>
      </c>
      <c r="D143" s="117" t="s">
        <v>374</v>
      </c>
      <c r="E143" s="117" t="s">
        <v>374</v>
      </c>
      <c r="F143" s="117" t="s">
        <v>374</v>
      </c>
      <c r="G143" s="64" t="s">
        <v>374</v>
      </c>
      <c r="H143" s="65">
        <f>'c-17'!C12</f>
        <v>2733</v>
      </c>
      <c r="I143" s="64" t="s">
        <v>374</v>
      </c>
      <c r="J143" s="117" t="s">
        <v>374</v>
      </c>
      <c r="K143" s="117" t="s">
        <v>374</v>
      </c>
      <c r="L143" s="117" t="s">
        <v>374</v>
      </c>
      <c r="M143" s="117" t="s">
        <v>374</v>
      </c>
      <c r="N143" s="118" t="s">
        <v>374</v>
      </c>
      <c r="O143" s="65" t="s">
        <v>374</v>
      </c>
      <c r="P143" s="65" t="s">
        <v>374</v>
      </c>
    </row>
    <row r="144" spans="1:18" ht="15.75" customHeight="1">
      <c r="A144" s="120" t="s">
        <v>526</v>
      </c>
      <c r="B144" s="26">
        <f t="shared" si="5"/>
        <v>1610</v>
      </c>
      <c r="C144" s="117" t="s">
        <v>374</v>
      </c>
      <c r="D144" s="117" t="s">
        <v>374</v>
      </c>
      <c r="E144" s="117" t="s">
        <v>374</v>
      </c>
      <c r="F144" s="117" t="s">
        <v>374</v>
      </c>
      <c r="G144" s="64" t="s">
        <v>374</v>
      </c>
      <c r="H144" s="65">
        <f>'c-17'!C22</f>
        <v>1610</v>
      </c>
      <c r="I144" s="64" t="s">
        <v>374</v>
      </c>
      <c r="J144" s="117" t="s">
        <v>374</v>
      </c>
      <c r="K144" s="117" t="s">
        <v>374</v>
      </c>
      <c r="L144" s="117" t="s">
        <v>374</v>
      </c>
      <c r="M144" s="117" t="s">
        <v>374</v>
      </c>
      <c r="N144" s="118" t="s">
        <v>374</v>
      </c>
      <c r="O144" s="65" t="s">
        <v>374</v>
      </c>
      <c r="P144" s="65" t="s">
        <v>374</v>
      </c>
    </row>
    <row r="145" spans="1:16" ht="15.75" customHeight="1">
      <c r="A145" s="120" t="s">
        <v>166</v>
      </c>
      <c r="B145" s="26">
        <f t="shared" si="5"/>
        <v>1676</v>
      </c>
      <c r="C145" s="117" t="s">
        <v>374</v>
      </c>
      <c r="D145" s="117" t="s">
        <v>374</v>
      </c>
      <c r="E145" s="117" t="s">
        <v>374</v>
      </c>
      <c r="F145" s="117" t="s">
        <v>374</v>
      </c>
      <c r="G145" s="64" t="s">
        <v>374</v>
      </c>
      <c r="H145" s="65">
        <f>'c-17'!C23</f>
        <v>1676</v>
      </c>
      <c r="I145" s="416" t="s">
        <v>374</v>
      </c>
      <c r="J145" s="117" t="s">
        <v>374</v>
      </c>
      <c r="K145" s="117" t="s">
        <v>374</v>
      </c>
      <c r="L145" s="117" t="s">
        <v>374</v>
      </c>
      <c r="M145" s="117" t="s">
        <v>374</v>
      </c>
      <c r="N145" s="118" t="s">
        <v>374</v>
      </c>
      <c r="O145" s="65" t="s">
        <v>374</v>
      </c>
      <c r="P145" s="65" t="s">
        <v>374</v>
      </c>
    </row>
    <row r="146" spans="1:16" ht="15.75" customHeight="1">
      <c r="A146" s="120" t="s">
        <v>167</v>
      </c>
      <c r="B146" s="26">
        <f t="shared" si="5"/>
        <v>754</v>
      </c>
      <c r="C146" s="117" t="s">
        <v>374</v>
      </c>
      <c r="D146" s="117" t="s">
        <v>374</v>
      </c>
      <c r="E146" s="117" t="s">
        <v>374</v>
      </c>
      <c r="F146" s="117" t="s">
        <v>374</v>
      </c>
      <c r="G146" s="118" t="s">
        <v>374</v>
      </c>
      <c r="H146" s="24">
        <f>'c-17'!C37</f>
        <v>754</v>
      </c>
      <c r="I146" s="117" t="s">
        <v>374</v>
      </c>
      <c r="J146" s="117" t="s">
        <v>374</v>
      </c>
      <c r="K146" s="117" t="s">
        <v>374</v>
      </c>
      <c r="L146" s="117" t="s">
        <v>374</v>
      </c>
      <c r="M146" s="117" t="s">
        <v>374</v>
      </c>
      <c r="N146" s="118" t="s">
        <v>374</v>
      </c>
      <c r="O146" s="65" t="s">
        <v>374</v>
      </c>
      <c r="P146" s="65" t="s">
        <v>374</v>
      </c>
    </row>
    <row r="147" spans="1:16" ht="15.75" customHeight="1">
      <c r="A147" s="120" t="s">
        <v>168</v>
      </c>
      <c r="B147" s="26">
        <f t="shared" si="5"/>
        <v>1001</v>
      </c>
      <c r="C147" s="117" t="s">
        <v>374</v>
      </c>
      <c r="D147" s="117" t="s">
        <v>374</v>
      </c>
      <c r="E147" s="117" t="s">
        <v>374</v>
      </c>
      <c r="F147" s="117" t="s">
        <v>374</v>
      </c>
      <c r="G147" s="118" t="s">
        <v>374</v>
      </c>
      <c r="H147" s="24">
        <f>'c-17'!C64</f>
        <v>1001</v>
      </c>
      <c r="I147" s="117" t="s">
        <v>374</v>
      </c>
      <c r="J147" s="117" t="s">
        <v>374</v>
      </c>
      <c r="K147" s="117" t="s">
        <v>374</v>
      </c>
      <c r="L147" s="117" t="s">
        <v>374</v>
      </c>
      <c r="M147" s="117" t="s">
        <v>374</v>
      </c>
      <c r="N147" s="118" t="s">
        <v>374</v>
      </c>
      <c r="O147" s="65" t="s">
        <v>374</v>
      </c>
      <c r="P147" s="65" t="s">
        <v>374</v>
      </c>
    </row>
    <row r="148" spans="1:16" ht="15.75" customHeight="1">
      <c r="A148" s="120" t="s">
        <v>169</v>
      </c>
      <c r="B148" s="26">
        <f t="shared" si="5"/>
        <v>834</v>
      </c>
      <c r="C148" s="117" t="s">
        <v>374</v>
      </c>
      <c r="D148" s="117" t="s">
        <v>374</v>
      </c>
      <c r="E148" s="117" t="s">
        <v>374</v>
      </c>
      <c r="F148" s="117" t="s">
        <v>374</v>
      </c>
      <c r="G148" s="118" t="s">
        <v>374</v>
      </c>
      <c r="H148" s="24">
        <f>'c-17'!C75</f>
        <v>834</v>
      </c>
      <c r="I148" s="117" t="s">
        <v>374</v>
      </c>
      <c r="J148" s="117" t="s">
        <v>374</v>
      </c>
      <c r="K148" s="117" t="s">
        <v>374</v>
      </c>
      <c r="L148" s="117" t="s">
        <v>374</v>
      </c>
      <c r="M148" s="117" t="s">
        <v>374</v>
      </c>
      <c r="N148" s="118" t="s">
        <v>374</v>
      </c>
      <c r="O148" s="65" t="s">
        <v>374</v>
      </c>
      <c r="P148" s="65" t="s">
        <v>374</v>
      </c>
    </row>
    <row r="149" spans="1:16" ht="15.75" customHeight="1">
      <c r="A149" s="120" t="s">
        <v>427</v>
      </c>
      <c r="B149" s="26">
        <f t="shared" si="5"/>
        <v>802</v>
      </c>
      <c r="C149" s="117" t="s">
        <v>374</v>
      </c>
      <c r="D149" s="117" t="s">
        <v>374</v>
      </c>
      <c r="E149" s="117" t="s">
        <v>374</v>
      </c>
      <c r="F149" s="117" t="s">
        <v>374</v>
      </c>
      <c r="G149" s="118" t="s">
        <v>374</v>
      </c>
      <c r="H149" s="24">
        <f>'c-17'!C104</f>
        <v>802</v>
      </c>
      <c r="I149" s="117" t="s">
        <v>374</v>
      </c>
      <c r="J149" s="117" t="s">
        <v>374</v>
      </c>
      <c r="K149" s="117" t="s">
        <v>374</v>
      </c>
      <c r="L149" s="117" t="s">
        <v>374</v>
      </c>
      <c r="M149" s="117" t="s">
        <v>374</v>
      </c>
      <c r="N149" s="118" t="s">
        <v>374</v>
      </c>
      <c r="O149" s="65" t="s">
        <v>374</v>
      </c>
      <c r="P149" s="65" t="s">
        <v>374</v>
      </c>
    </row>
    <row r="150" spans="1:16" s="91" customFormat="1" ht="15.75" customHeight="1">
      <c r="A150" s="120" t="s">
        <v>170</v>
      </c>
      <c r="B150" s="26">
        <f t="shared" si="5"/>
        <v>662</v>
      </c>
      <c r="C150" s="117" t="s">
        <v>374</v>
      </c>
      <c r="D150" s="117" t="s">
        <v>374</v>
      </c>
      <c r="E150" s="117" t="s">
        <v>374</v>
      </c>
      <c r="F150" s="117" t="s">
        <v>374</v>
      </c>
      <c r="G150" s="118" t="s">
        <v>374</v>
      </c>
      <c r="H150" s="24">
        <f>'c-17'!C132</f>
        <v>662</v>
      </c>
      <c r="I150" s="117" t="s">
        <v>374</v>
      </c>
      <c r="J150" s="117" t="s">
        <v>374</v>
      </c>
      <c r="K150" s="117" t="s">
        <v>374</v>
      </c>
      <c r="L150" s="117" t="s">
        <v>374</v>
      </c>
      <c r="M150" s="117" t="s">
        <v>374</v>
      </c>
      <c r="N150" s="118" t="s">
        <v>374</v>
      </c>
      <c r="O150" s="65" t="s">
        <v>374</v>
      </c>
      <c r="P150" s="65" t="s">
        <v>374</v>
      </c>
    </row>
    <row r="151" spans="1:16" ht="15.75" customHeight="1">
      <c r="A151" s="120" t="s">
        <v>171</v>
      </c>
      <c r="B151" s="26">
        <f t="shared" si="5"/>
        <v>1048</v>
      </c>
      <c r="C151" s="117" t="s">
        <v>374</v>
      </c>
      <c r="D151" s="117" t="s">
        <v>374</v>
      </c>
      <c r="E151" s="117" t="s">
        <v>374</v>
      </c>
      <c r="F151" s="117" t="s">
        <v>374</v>
      </c>
      <c r="G151" s="118" t="s">
        <v>374</v>
      </c>
      <c r="H151" s="24">
        <f>'c-17'!C138</f>
        <v>1048</v>
      </c>
      <c r="I151" s="117" t="s">
        <v>374</v>
      </c>
      <c r="J151" s="117" t="s">
        <v>374</v>
      </c>
      <c r="K151" s="117" t="s">
        <v>374</v>
      </c>
      <c r="L151" s="117" t="s">
        <v>374</v>
      </c>
      <c r="M151" s="117" t="s">
        <v>374</v>
      </c>
      <c r="N151" s="118" t="s">
        <v>374</v>
      </c>
      <c r="O151" s="65" t="s">
        <v>374</v>
      </c>
      <c r="P151" s="65" t="s">
        <v>374</v>
      </c>
    </row>
    <row r="152" spans="1:16" ht="15.75" customHeight="1">
      <c r="A152" s="131" t="s">
        <v>172</v>
      </c>
      <c r="B152" s="26"/>
      <c r="C152" s="51"/>
      <c r="D152" s="51"/>
      <c r="E152" s="51"/>
      <c r="F152" s="51"/>
      <c r="G152" s="51"/>
      <c r="H152" s="51"/>
      <c r="I152" s="51"/>
      <c r="J152" s="51"/>
      <c r="K152" s="51"/>
      <c r="L152" s="117"/>
      <c r="M152" s="51"/>
      <c r="N152" s="21"/>
      <c r="O152" s="19"/>
      <c r="P152" s="19"/>
    </row>
    <row r="153" spans="1:16" ht="15.75" customHeight="1">
      <c r="A153" s="106" t="s">
        <v>527</v>
      </c>
      <c r="B153" s="62">
        <f>SUM(B155:B192)</f>
        <v>99186</v>
      </c>
      <c r="C153" s="97" t="s">
        <v>374</v>
      </c>
      <c r="D153" s="97" t="s">
        <v>374</v>
      </c>
      <c r="E153" s="97" t="s">
        <v>374</v>
      </c>
      <c r="F153" s="97" t="s">
        <v>374</v>
      </c>
      <c r="G153" s="97" t="s">
        <v>374</v>
      </c>
      <c r="H153" s="97" t="s">
        <v>374</v>
      </c>
      <c r="I153" s="62">
        <f>SUM(I155:I192)</f>
        <v>99186</v>
      </c>
      <c r="J153" s="97" t="s">
        <v>374</v>
      </c>
      <c r="K153" s="97" t="s">
        <v>374</v>
      </c>
      <c r="L153" s="97" t="s">
        <v>374</v>
      </c>
      <c r="M153" s="97" t="s">
        <v>374</v>
      </c>
      <c r="N153" s="98" t="s">
        <v>374</v>
      </c>
      <c r="O153" s="112" t="s">
        <v>374</v>
      </c>
      <c r="P153" s="112" t="s">
        <v>374</v>
      </c>
    </row>
    <row r="154" spans="1:16" ht="15.75" customHeight="1">
      <c r="A154" s="120"/>
      <c r="B154" s="64"/>
      <c r="C154" s="51"/>
      <c r="D154" s="51"/>
      <c r="E154" s="51"/>
      <c r="F154" s="51"/>
      <c r="G154" s="51"/>
      <c r="H154" s="51"/>
      <c r="I154" s="64"/>
      <c r="J154" s="51"/>
      <c r="K154" s="51"/>
      <c r="L154" s="117"/>
      <c r="M154" s="51"/>
      <c r="N154" s="21"/>
      <c r="O154" s="65"/>
      <c r="P154" s="65"/>
    </row>
    <row r="155" spans="1:16" ht="15.75" customHeight="1">
      <c r="A155" s="120" t="s">
        <v>891</v>
      </c>
      <c r="B155" s="26">
        <f t="shared" ref="B155:B192" si="6">SUM(C155:P155)</f>
        <v>9793</v>
      </c>
      <c r="C155" s="117" t="s">
        <v>374</v>
      </c>
      <c r="D155" s="117" t="s">
        <v>374</v>
      </c>
      <c r="E155" s="117" t="s">
        <v>374</v>
      </c>
      <c r="F155" s="117" t="s">
        <v>374</v>
      </c>
      <c r="G155" s="117" t="s">
        <v>374</v>
      </c>
      <c r="H155" s="117" t="s">
        <v>374</v>
      </c>
      <c r="I155" s="24">
        <f>'c-19'!C12</f>
        <v>9793</v>
      </c>
      <c r="J155" s="117" t="s">
        <v>374</v>
      </c>
      <c r="K155" s="117" t="s">
        <v>374</v>
      </c>
      <c r="L155" s="117" t="s">
        <v>374</v>
      </c>
      <c r="M155" s="117" t="s">
        <v>374</v>
      </c>
      <c r="N155" s="118" t="s">
        <v>374</v>
      </c>
      <c r="O155" s="65" t="s">
        <v>374</v>
      </c>
      <c r="P155" s="65" t="s">
        <v>374</v>
      </c>
    </row>
    <row r="156" spans="1:16" ht="15.75" customHeight="1">
      <c r="A156" s="131" t="s">
        <v>893</v>
      </c>
      <c r="B156" s="26">
        <f t="shared" si="6"/>
        <v>2455</v>
      </c>
      <c r="C156" s="117" t="s">
        <v>374</v>
      </c>
      <c r="D156" s="117" t="s">
        <v>374</v>
      </c>
      <c r="E156" s="117" t="s">
        <v>374</v>
      </c>
      <c r="F156" s="117" t="s">
        <v>374</v>
      </c>
      <c r="G156" s="117" t="s">
        <v>374</v>
      </c>
      <c r="H156" s="117" t="s">
        <v>374</v>
      </c>
      <c r="I156" s="24">
        <f>'c-19'!C19</f>
        <v>2455</v>
      </c>
      <c r="J156" s="117" t="s">
        <v>374</v>
      </c>
      <c r="K156" s="117" t="s">
        <v>374</v>
      </c>
      <c r="L156" s="117" t="s">
        <v>374</v>
      </c>
      <c r="M156" s="117" t="s">
        <v>374</v>
      </c>
      <c r="N156" s="118" t="s">
        <v>374</v>
      </c>
      <c r="O156" s="65" t="s">
        <v>374</v>
      </c>
      <c r="P156" s="65" t="s">
        <v>374</v>
      </c>
    </row>
    <row r="157" spans="1:16" ht="15.75" customHeight="1">
      <c r="A157" s="120" t="s">
        <v>425</v>
      </c>
      <c r="B157" s="26">
        <f t="shared" si="6"/>
        <v>4051</v>
      </c>
      <c r="C157" s="117" t="s">
        <v>374</v>
      </c>
      <c r="D157" s="117" t="s">
        <v>374</v>
      </c>
      <c r="E157" s="117" t="s">
        <v>374</v>
      </c>
      <c r="F157" s="117" t="s">
        <v>374</v>
      </c>
      <c r="G157" s="117" t="s">
        <v>374</v>
      </c>
      <c r="H157" s="117" t="s">
        <v>374</v>
      </c>
      <c r="I157" s="24">
        <f>'c-19'!C20</f>
        <v>4051</v>
      </c>
      <c r="J157" s="117" t="s">
        <v>374</v>
      </c>
      <c r="K157" s="117" t="s">
        <v>374</v>
      </c>
      <c r="L157" s="117" t="s">
        <v>374</v>
      </c>
      <c r="M157" s="117" t="s">
        <v>374</v>
      </c>
      <c r="N157" s="118" t="s">
        <v>374</v>
      </c>
      <c r="O157" s="65" t="s">
        <v>374</v>
      </c>
      <c r="P157" s="65" t="s">
        <v>374</v>
      </c>
    </row>
    <row r="158" spans="1:16" ht="15.75" customHeight="1">
      <c r="A158" s="120" t="s">
        <v>173</v>
      </c>
      <c r="B158" s="26">
        <f t="shared" si="6"/>
        <v>3131</v>
      </c>
      <c r="C158" s="117" t="s">
        <v>374</v>
      </c>
      <c r="D158" s="117" t="s">
        <v>374</v>
      </c>
      <c r="E158" s="117" t="s">
        <v>374</v>
      </c>
      <c r="F158" s="117" t="s">
        <v>374</v>
      </c>
      <c r="G158" s="117" t="s">
        <v>374</v>
      </c>
      <c r="H158" s="117" t="s">
        <v>374</v>
      </c>
      <c r="I158" s="24">
        <f>'c-19'!C21</f>
        <v>3131</v>
      </c>
      <c r="J158" s="117" t="s">
        <v>374</v>
      </c>
      <c r="K158" s="117" t="s">
        <v>374</v>
      </c>
      <c r="L158" s="117" t="s">
        <v>374</v>
      </c>
      <c r="M158" s="117" t="s">
        <v>374</v>
      </c>
      <c r="N158" s="118" t="s">
        <v>374</v>
      </c>
      <c r="O158" s="65" t="s">
        <v>374</v>
      </c>
      <c r="P158" s="65" t="s">
        <v>374</v>
      </c>
    </row>
    <row r="159" spans="1:16" ht="15.75" customHeight="1">
      <c r="A159" s="120" t="s">
        <v>174</v>
      </c>
      <c r="B159" s="26">
        <f t="shared" si="6"/>
        <v>931</v>
      </c>
      <c r="C159" s="117" t="s">
        <v>374</v>
      </c>
      <c r="D159" s="117" t="s">
        <v>374</v>
      </c>
      <c r="E159" s="117" t="s">
        <v>374</v>
      </c>
      <c r="F159" s="117" t="s">
        <v>374</v>
      </c>
      <c r="G159" s="117" t="s">
        <v>374</v>
      </c>
      <c r="H159" s="117" t="s">
        <v>374</v>
      </c>
      <c r="I159" s="24">
        <f>'c-19'!C13</f>
        <v>931</v>
      </c>
      <c r="J159" s="117" t="s">
        <v>374</v>
      </c>
      <c r="K159" s="117" t="s">
        <v>374</v>
      </c>
      <c r="L159" s="117" t="s">
        <v>374</v>
      </c>
      <c r="M159" s="117" t="s">
        <v>374</v>
      </c>
      <c r="N159" s="118" t="s">
        <v>374</v>
      </c>
      <c r="O159" s="65" t="s">
        <v>374</v>
      </c>
      <c r="P159" s="65" t="s">
        <v>374</v>
      </c>
    </row>
    <row r="160" spans="1:16" ht="15.75" customHeight="1">
      <c r="A160" s="120" t="s">
        <v>468</v>
      </c>
      <c r="B160" s="26">
        <f t="shared" si="6"/>
        <v>9148</v>
      </c>
      <c r="C160" s="117" t="s">
        <v>374</v>
      </c>
      <c r="D160" s="117" t="s">
        <v>374</v>
      </c>
      <c r="E160" s="117" t="s">
        <v>374</v>
      </c>
      <c r="F160" s="117" t="s">
        <v>374</v>
      </c>
      <c r="G160" s="117" t="s">
        <v>374</v>
      </c>
      <c r="H160" s="117" t="s">
        <v>374</v>
      </c>
      <c r="I160" s="24">
        <f>'c-19'!C16</f>
        <v>9148</v>
      </c>
      <c r="J160" s="117" t="s">
        <v>374</v>
      </c>
      <c r="K160" s="117" t="s">
        <v>374</v>
      </c>
      <c r="L160" s="117" t="s">
        <v>374</v>
      </c>
      <c r="M160" s="117" t="s">
        <v>374</v>
      </c>
      <c r="N160" s="118" t="s">
        <v>374</v>
      </c>
      <c r="O160" s="65" t="s">
        <v>374</v>
      </c>
      <c r="P160" s="65" t="s">
        <v>374</v>
      </c>
    </row>
    <row r="161" spans="1:16" ht="15.75" customHeight="1">
      <c r="A161" s="120" t="s">
        <v>175</v>
      </c>
      <c r="B161" s="26">
        <f t="shared" si="6"/>
        <v>3039</v>
      </c>
      <c r="C161" s="117" t="s">
        <v>374</v>
      </c>
      <c r="D161" s="117" t="s">
        <v>374</v>
      </c>
      <c r="E161" s="117" t="s">
        <v>374</v>
      </c>
      <c r="F161" s="117" t="s">
        <v>374</v>
      </c>
      <c r="G161" s="117" t="s">
        <v>374</v>
      </c>
      <c r="H161" s="117" t="s">
        <v>374</v>
      </c>
      <c r="I161" s="24">
        <f>'c-19'!C62</f>
        <v>3039</v>
      </c>
      <c r="J161" s="117" t="s">
        <v>374</v>
      </c>
      <c r="K161" s="117" t="s">
        <v>374</v>
      </c>
      <c r="L161" s="117" t="s">
        <v>374</v>
      </c>
      <c r="M161" s="117" t="s">
        <v>374</v>
      </c>
      <c r="N161" s="118" t="s">
        <v>374</v>
      </c>
      <c r="O161" s="65" t="s">
        <v>374</v>
      </c>
      <c r="P161" s="65" t="s">
        <v>374</v>
      </c>
    </row>
    <row r="162" spans="1:16" ht="15.75" customHeight="1">
      <c r="A162" s="120" t="s">
        <v>450</v>
      </c>
      <c r="B162" s="26">
        <f t="shared" si="6"/>
        <v>7606</v>
      </c>
      <c r="C162" s="117" t="s">
        <v>374</v>
      </c>
      <c r="D162" s="117" t="s">
        <v>374</v>
      </c>
      <c r="E162" s="117" t="s">
        <v>374</v>
      </c>
      <c r="F162" s="117" t="s">
        <v>374</v>
      </c>
      <c r="G162" s="117" t="s">
        <v>374</v>
      </c>
      <c r="H162" s="117" t="s">
        <v>374</v>
      </c>
      <c r="I162" s="24">
        <f>'c-19'!C24</f>
        <v>7606</v>
      </c>
      <c r="J162" s="117" t="s">
        <v>374</v>
      </c>
      <c r="K162" s="117" t="s">
        <v>374</v>
      </c>
      <c r="L162" s="117" t="s">
        <v>374</v>
      </c>
      <c r="M162" s="117" t="s">
        <v>374</v>
      </c>
      <c r="N162" s="118" t="s">
        <v>374</v>
      </c>
      <c r="O162" s="65" t="s">
        <v>374</v>
      </c>
      <c r="P162" s="65" t="s">
        <v>374</v>
      </c>
    </row>
    <row r="163" spans="1:16" ht="15.75" customHeight="1">
      <c r="A163" s="120" t="s">
        <v>176</v>
      </c>
      <c r="B163" s="26">
        <f t="shared" si="6"/>
        <v>1019</v>
      </c>
      <c r="C163" s="117" t="s">
        <v>374</v>
      </c>
      <c r="D163" s="117" t="s">
        <v>374</v>
      </c>
      <c r="E163" s="117" t="s">
        <v>374</v>
      </c>
      <c r="F163" s="117" t="s">
        <v>374</v>
      </c>
      <c r="G163" s="117" t="s">
        <v>374</v>
      </c>
      <c r="H163" s="117" t="s">
        <v>374</v>
      </c>
      <c r="I163" s="24">
        <f>'c-19'!C25</f>
        <v>1019</v>
      </c>
      <c r="J163" s="117" t="s">
        <v>374</v>
      </c>
      <c r="K163" s="117" t="s">
        <v>374</v>
      </c>
      <c r="L163" s="117" t="s">
        <v>374</v>
      </c>
      <c r="M163" s="117" t="s">
        <v>374</v>
      </c>
      <c r="N163" s="118" t="s">
        <v>374</v>
      </c>
      <c r="O163" s="65" t="s">
        <v>374</v>
      </c>
      <c r="P163" s="65" t="s">
        <v>374</v>
      </c>
    </row>
    <row r="164" spans="1:16" ht="15.75" customHeight="1">
      <c r="A164" s="120" t="s">
        <v>177</v>
      </c>
      <c r="B164" s="26">
        <f t="shared" si="6"/>
        <v>1623</v>
      </c>
      <c r="C164" s="117" t="s">
        <v>374</v>
      </c>
      <c r="D164" s="117" t="s">
        <v>374</v>
      </c>
      <c r="E164" s="117" t="s">
        <v>374</v>
      </c>
      <c r="F164" s="117" t="s">
        <v>374</v>
      </c>
      <c r="G164" s="117" t="s">
        <v>374</v>
      </c>
      <c r="H164" s="117" t="s">
        <v>374</v>
      </c>
      <c r="I164" s="24">
        <f>'c-19'!C34</f>
        <v>1623</v>
      </c>
      <c r="J164" s="117" t="s">
        <v>374</v>
      </c>
      <c r="K164" s="117" t="s">
        <v>374</v>
      </c>
      <c r="L164" s="117" t="s">
        <v>374</v>
      </c>
      <c r="M164" s="117" t="s">
        <v>374</v>
      </c>
      <c r="N164" s="118" t="s">
        <v>374</v>
      </c>
      <c r="O164" s="65" t="s">
        <v>374</v>
      </c>
      <c r="P164" s="65" t="s">
        <v>374</v>
      </c>
    </row>
    <row r="165" spans="1:16" ht="15.75" customHeight="1">
      <c r="A165" s="120" t="s">
        <v>178</v>
      </c>
      <c r="B165" s="26">
        <f t="shared" si="6"/>
        <v>1533</v>
      </c>
      <c r="C165" s="117" t="s">
        <v>374</v>
      </c>
      <c r="D165" s="117" t="s">
        <v>374</v>
      </c>
      <c r="E165" s="117" t="s">
        <v>374</v>
      </c>
      <c r="F165" s="117" t="s">
        <v>374</v>
      </c>
      <c r="G165" s="117" t="s">
        <v>374</v>
      </c>
      <c r="H165" s="117" t="s">
        <v>374</v>
      </c>
      <c r="I165" s="24">
        <f>'c-19'!C35</f>
        <v>1533</v>
      </c>
      <c r="J165" s="117" t="s">
        <v>374</v>
      </c>
      <c r="K165" s="117" t="s">
        <v>374</v>
      </c>
      <c r="L165" s="117" t="s">
        <v>374</v>
      </c>
      <c r="M165" s="117" t="s">
        <v>374</v>
      </c>
      <c r="N165" s="118" t="s">
        <v>374</v>
      </c>
      <c r="O165" s="65" t="s">
        <v>374</v>
      </c>
      <c r="P165" s="65" t="s">
        <v>374</v>
      </c>
    </row>
    <row r="166" spans="1:16" ht="15.75" customHeight="1">
      <c r="A166" s="120" t="s">
        <v>179</v>
      </c>
      <c r="B166" s="26">
        <f t="shared" si="6"/>
        <v>2874</v>
      </c>
      <c r="C166" s="117" t="s">
        <v>374</v>
      </c>
      <c r="D166" s="117" t="s">
        <v>374</v>
      </c>
      <c r="E166" s="117" t="s">
        <v>374</v>
      </c>
      <c r="F166" s="117" t="s">
        <v>374</v>
      </c>
      <c r="G166" s="117" t="s">
        <v>374</v>
      </c>
      <c r="H166" s="117" t="s">
        <v>374</v>
      </c>
      <c r="I166" s="24">
        <f>'c-19'!C28</f>
        <v>2874</v>
      </c>
      <c r="J166" s="117" t="s">
        <v>374</v>
      </c>
      <c r="K166" s="117" t="s">
        <v>374</v>
      </c>
      <c r="L166" s="117" t="s">
        <v>374</v>
      </c>
      <c r="M166" s="117" t="s">
        <v>374</v>
      </c>
      <c r="N166" s="118" t="s">
        <v>374</v>
      </c>
      <c r="O166" s="65" t="s">
        <v>374</v>
      </c>
      <c r="P166" s="65" t="s">
        <v>374</v>
      </c>
    </row>
    <row r="167" spans="1:16" ht="15.75" customHeight="1">
      <c r="A167" s="120" t="s">
        <v>180</v>
      </c>
      <c r="B167" s="26">
        <f t="shared" si="6"/>
        <v>566</v>
      </c>
      <c r="C167" s="117" t="s">
        <v>374</v>
      </c>
      <c r="D167" s="117" t="s">
        <v>374</v>
      </c>
      <c r="E167" s="117" t="s">
        <v>374</v>
      </c>
      <c r="F167" s="117" t="s">
        <v>374</v>
      </c>
      <c r="G167" s="117" t="s">
        <v>374</v>
      </c>
      <c r="H167" s="117" t="s">
        <v>374</v>
      </c>
      <c r="I167" s="24">
        <f>'c-19'!C30</f>
        <v>566</v>
      </c>
      <c r="J167" s="117" t="s">
        <v>374</v>
      </c>
      <c r="K167" s="117" t="s">
        <v>374</v>
      </c>
      <c r="L167" s="117" t="s">
        <v>374</v>
      </c>
      <c r="M167" s="117" t="s">
        <v>374</v>
      </c>
      <c r="N167" s="118" t="s">
        <v>374</v>
      </c>
      <c r="O167" s="65" t="s">
        <v>374</v>
      </c>
      <c r="P167" s="65" t="s">
        <v>374</v>
      </c>
    </row>
    <row r="168" spans="1:16" ht="15.75" customHeight="1">
      <c r="A168" s="131" t="s">
        <v>681</v>
      </c>
      <c r="B168" s="26">
        <f t="shared" si="6"/>
        <v>1178</v>
      </c>
      <c r="C168" s="117" t="s">
        <v>374</v>
      </c>
      <c r="D168" s="117" t="s">
        <v>374</v>
      </c>
      <c r="E168" s="117" t="s">
        <v>374</v>
      </c>
      <c r="F168" s="117" t="s">
        <v>374</v>
      </c>
      <c r="G168" s="117" t="s">
        <v>374</v>
      </c>
      <c r="H168" s="117" t="s">
        <v>374</v>
      </c>
      <c r="I168" s="24">
        <f>'c-19'!C29</f>
        <v>1178</v>
      </c>
      <c r="J168" s="117" t="s">
        <v>374</v>
      </c>
      <c r="K168" s="117" t="s">
        <v>374</v>
      </c>
      <c r="L168" s="117" t="s">
        <v>374</v>
      </c>
      <c r="M168" s="117" t="s">
        <v>374</v>
      </c>
      <c r="N168" s="118" t="s">
        <v>374</v>
      </c>
      <c r="O168" s="65" t="s">
        <v>374</v>
      </c>
      <c r="P168" s="65" t="s">
        <v>374</v>
      </c>
    </row>
    <row r="169" spans="1:16" ht="15.75" customHeight="1">
      <c r="A169" s="131" t="s">
        <v>682</v>
      </c>
      <c r="B169" s="26">
        <f t="shared" si="6"/>
        <v>505</v>
      </c>
      <c r="C169" s="117" t="s">
        <v>374</v>
      </c>
      <c r="D169" s="117" t="s">
        <v>374</v>
      </c>
      <c r="E169" s="117" t="s">
        <v>374</v>
      </c>
      <c r="F169" s="117" t="s">
        <v>374</v>
      </c>
      <c r="G169" s="117" t="s">
        <v>374</v>
      </c>
      <c r="H169" s="117" t="s">
        <v>374</v>
      </c>
      <c r="I169" s="24">
        <f>'c-19'!C31</f>
        <v>505</v>
      </c>
      <c r="J169" s="117" t="s">
        <v>374</v>
      </c>
      <c r="K169" s="117" t="s">
        <v>374</v>
      </c>
      <c r="L169" s="117" t="s">
        <v>374</v>
      </c>
      <c r="M169" s="117" t="s">
        <v>374</v>
      </c>
      <c r="N169" s="118" t="s">
        <v>374</v>
      </c>
      <c r="O169" s="65" t="s">
        <v>374</v>
      </c>
      <c r="P169" s="65" t="s">
        <v>374</v>
      </c>
    </row>
    <row r="170" spans="1:16" ht="15.75" customHeight="1">
      <c r="A170" s="131" t="s">
        <v>157</v>
      </c>
      <c r="B170" s="26">
        <f t="shared" si="6"/>
        <v>6180</v>
      </c>
      <c r="C170" s="117" t="s">
        <v>374</v>
      </c>
      <c r="D170" s="117" t="s">
        <v>374</v>
      </c>
      <c r="E170" s="117" t="s">
        <v>374</v>
      </c>
      <c r="F170" s="117" t="s">
        <v>374</v>
      </c>
      <c r="G170" s="117" t="s">
        <v>374</v>
      </c>
      <c r="H170" s="117" t="s">
        <v>374</v>
      </c>
      <c r="I170" s="24">
        <f>'c-19'!C38</f>
        <v>6180</v>
      </c>
      <c r="J170" s="117" t="s">
        <v>374</v>
      </c>
      <c r="K170" s="117" t="s">
        <v>374</v>
      </c>
      <c r="L170" s="117" t="s">
        <v>374</v>
      </c>
      <c r="M170" s="117" t="s">
        <v>374</v>
      </c>
      <c r="N170" s="118" t="s">
        <v>374</v>
      </c>
      <c r="O170" s="65" t="s">
        <v>374</v>
      </c>
      <c r="P170" s="65" t="s">
        <v>374</v>
      </c>
    </row>
    <row r="171" spans="1:16" ht="15.75" customHeight="1">
      <c r="A171" s="131" t="s">
        <v>181</v>
      </c>
      <c r="B171" s="26">
        <f t="shared" si="6"/>
        <v>2843</v>
      </c>
      <c r="C171" s="117" t="s">
        <v>374</v>
      </c>
      <c r="D171" s="117" t="s">
        <v>374</v>
      </c>
      <c r="E171" s="117" t="s">
        <v>374</v>
      </c>
      <c r="F171" s="117" t="s">
        <v>374</v>
      </c>
      <c r="G171" s="117" t="s">
        <v>374</v>
      </c>
      <c r="H171" s="117" t="s">
        <v>374</v>
      </c>
      <c r="I171" s="24">
        <f>'c-19'!C39</f>
        <v>2843</v>
      </c>
      <c r="J171" s="117" t="s">
        <v>374</v>
      </c>
      <c r="K171" s="117" t="s">
        <v>374</v>
      </c>
      <c r="L171" s="117" t="s">
        <v>374</v>
      </c>
      <c r="M171" s="117" t="s">
        <v>374</v>
      </c>
      <c r="N171" s="118" t="s">
        <v>374</v>
      </c>
      <c r="O171" s="65" t="s">
        <v>374</v>
      </c>
      <c r="P171" s="65" t="s">
        <v>374</v>
      </c>
    </row>
    <row r="172" spans="1:16" ht="15.75" customHeight="1">
      <c r="A172" s="131" t="s">
        <v>182</v>
      </c>
      <c r="B172" s="26">
        <f t="shared" si="6"/>
        <v>1526</v>
      </c>
      <c r="C172" s="117" t="s">
        <v>374</v>
      </c>
      <c r="D172" s="117" t="s">
        <v>374</v>
      </c>
      <c r="E172" s="117" t="s">
        <v>374</v>
      </c>
      <c r="F172" s="117" t="s">
        <v>374</v>
      </c>
      <c r="G172" s="117" t="s">
        <v>374</v>
      </c>
      <c r="H172" s="117" t="s">
        <v>374</v>
      </c>
      <c r="I172" s="24">
        <f>'c-19'!C40</f>
        <v>1526</v>
      </c>
      <c r="J172" s="117" t="s">
        <v>374</v>
      </c>
      <c r="K172" s="117" t="s">
        <v>374</v>
      </c>
      <c r="L172" s="117" t="s">
        <v>374</v>
      </c>
      <c r="M172" s="117" t="s">
        <v>374</v>
      </c>
      <c r="N172" s="118" t="s">
        <v>374</v>
      </c>
      <c r="O172" s="65" t="s">
        <v>374</v>
      </c>
      <c r="P172" s="65" t="s">
        <v>374</v>
      </c>
    </row>
    <row r="173" spans="1:16" ht="15.75" customHeight="1">
      <c r="A173" s="131" t="s">
        <v>426</v>
      </c>
      <c r="B173" s="26">
        <f t="shared" si="6"/>
        <v>5543</v>
      </c>
      <c r="C173" s="117" t="s">
        <v>374</v>
      </c>
      <c r="D173" s="117" t="s">
        <v>374</v>
      </c>
      <c r="E173" s="117" t="s">
        <v>374</v>
      </c>
      <c r="F173" s="117" t="s">
        <v>374</v>
      </c>
      <c r="G173" s="117" t="s">
        <v>374</v>
      </c>
      <c r="H173" s="117" t="s">
        <v>374</v>
      </c>
      <c r="I173" s="24">
        <f>'c-19'!C43</f>
        <v>5543</v>
      </c>
      <c r="J173" s="117" t="s">
        <v>374</v>
      </c>
      <c r="K173" s="117" t="s">
        <v>374</v>
      </c>
      <c r="L173" s="117" t="s">
        <v>374</v>
      </c>
      <c r="M173" s="117" t="s">
        <v>374</v>
      </c>
      <c r="N173" s="118" t="s">
        <v>374</v>
      </c>
      <c r="O173" s="65" t="s">
        <v>374</v>
      </c>
      <c r="P173" s="65" t="s">
        <v>374</v>
      </c>
    </row>
    <row r="174" spans="1:16" ht="15.75" customHeight="1">
      <c r="A174" s="131" t="s">
        <v>183</v>
      </c>
      <c r="B174" s="26">
        <f t="shared" si="6"/>
        <v>1049</v>
      </c>
      <c r="C174" s="117" t="s">
        <v>374</v>
      </c>
      <c r="D174" s="117" t="s">
        <v>374</v>
      </c>
      <c r="E174" s="117" t="s">
        <v>374</v>
      </c>
      <c r="F174" s="117" t="s">
        <v>374</v>
      </c>
      <c r="G174" s="117" t="s">
        <v>374</v>
      </c>
      <c r="H174" s="117" t="s">
        <v>374</v>
      </c>
      <c r="I174" s="24">
        <f>'c-19'!C44</f>
        <v>1049</v>
      </c>
      <c r="J174" s="117" t="s">
        <v>374</v>
      </c>
      <c r="K174" s="117" t="s">
        <v>374</v>
      </c>
      <c r="L174" s="117" t="s">
        <v>374</v>
      </c>
      <c r="M174" s="117" t="s">
        <v>374</v>
      </c>
      <c r="N174" s="118" t="s">
        <v>374</v>
      </c>
      <c r="O174" s="65" t="s">
        <v>374</v>
      </c>
      <c r="P174" s="65" t="s">
        <v>374</v>
      </c>
    </row>
    <row r="175" spans="1:16" ht="15.75" customHeight="1">
      <c r="A175" s="131" t="s">
        <v>184</v>
      </c>
      <c r="B175" s="26">
        <f t="shared" si="6"/>
        <v>1461</v>
      </c>
      <c r="C175" s="117" t="s">
        <v>374</v>
      </c>
      <c r="D175" s="117" t="s">
        <v>374</v>
      </c>
      <c r="E175" s="117" t="s">
        <v>374</v>
      </c>
      <c r="F175" s="117" t="s">
        <v>374</v>
      </c>
      <c r="G175" s="117" t="s">
        <v>374</v>
      </c>
      <c r="H175" s="117" t="s">
        <v>374</v>
      </c>
      <c r="I175" s="24">
        <f>'c-19'!C45</f>
        <v>1461</v>
      </c>
      <c r="J175" s="117" t="s">
        <v>374</v>
      </c>
      <c r="K175" s="117" t="s">
        <v>374</v>
      </c>
      <c r="L175" s="117" t="s">
        <v>374</v>
      </c>
      <c r="M175" s="117" t="s">
        <v>374</v>
      </c>
      <c r="N175" s="118" t="s">
        <v>374</v>
      </c>
      <c r="O175" s="65" t="s">
        <v>374</v>
      </c>
      <c r="P175" s="65" t="s">
        <v>374</v>
      </c>
    </row>
    <row r="176" spans="1:16" ht="15.75" customHeight="1">
      <c r="A176" s="131" t="s">
        <v>185</v>
      </c>
      <c r="B176" s="26">
        <f t="shared" si="6"/>
        <v>2827</v>
      </c>
      <c r="C176" s="117" t="s">
        <v>374</v>
      </c>
      <c r="D176" s="117" t="s">
        <v>374</v>
      </c>
      <c r="E176" s="117" t="s">
        <v>374</v>
      </c>
      <c r="F176" s="117" t="s">
        <v>374</v>
      </c>
      <c r="G176" s="117" t="s">
        <v>374</v>
      </c>
      <c r="H176" s="117" t="s">
        <v>374</v>
      </c>
      <c r="I176" s="24">
        <f>'c-19'!C48</f>
        <v>2827</v>
      </c>
      <c r="J176" s="117" t="s">
        <v>374</v>
      </c>
      <c r="K176" s="117" t="s">
        <v>374</v>
      </c>
      <c r="L176" s="117" t="s">
        <v>374</v>
      </c>
      <c r="M176" s="117" t="s">
        <v>374</v>
      </c>
      <c r="N176" s="118" t="s">
        <v>374</v>
      </c>
      <c r="O176" s="65" t="s">
        <v>374</v>
      </c>
      <c r="P176" s="65" t="s">
        <v>374</v>
      </c>
    </row>
    <row r="177" spans="1:16" ht="15.75" customHeight="1">
      <c r="A177" s="131" t="s">
        <v>186</v>
      </c>
      <c r="B177" s="26">
        <f t="shared" si="6"/>
        <v>1840</v>
      </c>
      <c r="C177" s="117" t="s">
        <v>374</v>
      </c>
      <c r="D177" s="117" t="s">
        <v>374</v>
      </c>
      <c r="E177" s="117" t="s">
        <v>374</v>
      </c>
      <c r="F177" s="117" t="s">
        <v>374</v>
      </c>
      <c r="G177" s="117" t="s">
        <v>374</v>
      </c>
      <c r="H177" s="117" t="s">
        <v>374</v>
      </c>
      <c r="I177" s="24">
        <f>'c-19'!C49</f>
        <v>1840</v>
      </c>
      <c r="J177" s="117" t="s">
        <v>374</v>
      </c>
      <c r="K177" s="117" t="s">
        <v>374</v>
      </c>
      <c r="L177" s="117" t="s">
        <v>374</v>
      </c>
      <c r="M177" s="117" t="s">
        <v>374</v>
      </c>
      <c r="N177" s="118" t="s">
        <v>374</v>
      </c>
      <c r="O177" s="65" t="s">
        <v>374</v>
      </c>
      <c r="P177" s="65" t="s">
        <v>374</v>
      </c>
    </row>
    <row r="178" spans="1:16" ht="15.75" customHeight="1">
      <c r="A178" s="131" t="s">
        <v>187</v>
      </c>
      <c r="B178" s="26">
        <f t="shared" si="6"/>
        <v>2287</v>
      </c>
      <c r="C178" s="117" t="s">
        <v>374</v>
      </c>
      <c r="D178" s="117" t="s">
        <v>374</v>
      </c>
      <c r="E178" s="117" t="s">
        <v>374</v>
      </c>
      <c r="F178" s="117" t="s">
        <v>374</v>
      </c>
      <c r="G178" s="117" t="s">
        <v>374</v>
      </c>
      <c r="H178" s="117" t="s">
        <v>374</v>
      </c>
      <c r="I178" s="24">
        <f>'c-19'!C52</f>
        <v>2287</v>
      </c>
      <c r="J178" s="117" t="s">
        <v>374</v>
      </c>
      <c r="K178" s="117" t="s">
        <v>374</v>
      </c>
      <c r="L178" s="117" t="s">
        <v>374</v>
      </c>
      <c r="M178" s="117" t="s">
        <v>374</v>
      </c>
      <c r="N178" s="118" t="s">
        <v>374</v>
      </c>
      <c r="O178" s="65" t="s">
        <v>374</v>
      </c>
      <c r="P178" s="65" t="s">
        <v>374</v>
      </c>
    </row>
    <row r="179" spans="1:16" ht="15.75" customHeight="1">
      <c r="A179" s="131" t="s">
        <v>188</v>
      </c>
      <c r="B179" s="26">
        <f t="shared" si="6"/>
        <v>2320</v>
      </c>
      <c r="C179" s="117" t="s">
        <v>374</v>
      </c>
      <c r="D179" s="117" t="s">
        <v>374</v>
      </c>
      <c r="E179" s="117" t="s">
        <v>374</v>
      </c>
      <c r="F179" s="117" t="s">
        <v>374</v>
      </c>
      <c r="G179" s="117" t="s">
        <v>374</v>
      </c>
      <c r="H179" s="117" t="s">
        <v>374</v>
      </c>
      <c r="I179" s="24">
        <f>'c-19'!C53</f>
        <v>2320</v>
      </c>
      <c r="J179" s="117" t="s">
        <v>374</v>
      </c>
      <c r="K179" s="117" t="s">
        <v>374</v>
      </c>
      <c r="L179" s="117" t="s">
        <v>374</v>
      </c>
      <c r="M179" s="117" t="s">
        <v>374</v>
      </c>
      <c r="N179" s="118" t="s">
        <v>374</v>
      </c>
      <c r="O179" s="65" t="s">
        <v>374</v>
      </c>
      <c r="P179" s="65" t="s">
        <v>374</v>
      </c>
    </row>
    <row r="180" spans="1:16" ht="15.75" customHeight="1">
      <c r="A180" s="131" t="s">
        <v>189</v>
      </c>
      <c r="B180" s="26">
        <f t="shared" si="6"/>
        <v>3198</v>
      </c>
      <c r="C180" s="117" t="s">
        <v>374</v>
      </c>
      <c r="D180" s="117" t="s">
        <v>374</v>
      </c>
      <c r="E180" s="117" t="s">
        <v>374</v>
      </c>
      <c r="F180" s="117" t="s">
        <v>374</v>
      </c>
      <c r="G180" s="117" t="s">
        <v>374</v>
      </c>
      <c r="H180" s="117" t="s">
        <v>374</v>
      </c>
      <c r="I180" s="24">
        <f>'c-19'!C56</f>
        <v>3198</v>
      </c>
      <c r="J180" s="117" t="s">
        <v>374</v>
      </c>
      <c r="K180" s="117" t="s">
        <v>374</v>
      </c>
      <c r="L180" s="117" t="s">
        <v>374</v>
      </c>
      <c r="M180" s="117" t="s">
        <v>374</v>
      </c>
      <c r="N180" s="118" t="s">
        <v>374</v>
      </c>
      <c r="O180" s="65" t="s">
        <v>374</v>
      </c>
      <c r="P180" s="65" t="s">
        <v>374</v>
      </c>
    </row>
    <row r="181" spans="1:16" ht="15.75" customHeight="1">
      <c r="A181" s="131" t="s">
        <v>190</v>
      </c>
      <c r="B181" s="26">
        <f t="shared" si="6"/>
        <v>1575</v>
      </c>
      <c r="C181" s="117" t="s">
        <v>374</v>
      </c>
      <c r="D181" s="117" t="s">
        <v>374</v>
      </c>
      <c r="E181" s="117" t="s">
        <v>374</v>
      </c>
      <c r="F181" s="117" t="s">
        <v>374</v>
      </c>
      <c r="G181" s="117" t="s">
        <v>374</v>
      </c>
      <c r="H181" s="117" t="s">
        <v>374</v>
      </c>
      <c r="I181" s="24">
        <f>'c-19'!C57</f>
        <v>1575</v>
      </c>
      <c r="J181" s="117" t="s">
        <v>374</v>
      </c>
      <c r="K181" s="117" t="s">
        <v>374</v>
      </c>
      <c r="L181" s="117" t="s">
        <v>374</v>
      </c>
      <c r="M181" s="117" t="s">
        <v>374</v>
      </c>
      <c r="N181" s="118" t="s">
        <v>374</v>
      </c>
      <c r="O181" s="65" t="s">
        <v>374</v>
      </c>
      <c r="P181" s="65" t="s">
        <v>374</v>
      </c>
    </row>
    <row r="182" spans="1:16" ht="15.75" customHeight="1">
      <c r="A182" s="131" t="s">
        <v>191</v>
      </c>
      <c r="B182" s="26">
        <f t="shared" si="6"/>
        <v>895</v>
      </c>
      <c r="C182" s="117" t="s">
        <v>374</v>
      </c>
      <c r="D182" s="117" t="s">
        <v>374</v>
      </c>
      <c r="E182" s="117" t="s">
        <v>374</v>
      </c>
      <c r="F182" s="117" t="s">
        <v>374</v>
      </c>
      <c r="G182" s="117" t="s">
        <v>374</v>
      </c>
      <c r="H182" s="117" t="s">
        <v>374</v>
      </c>
      <c r="I182" s="24">
        <f>'c-19'!C58</f>
        <v>895</v>
      </c>
      <c r="J182" s="117" t="s">
        <v>374</v>
      </c>
      <c r="K182" s="117" t="s">
        <v>374</v>
      </c>
      <c r="L182" s="117" t="s">
        <v>374</v>
      </c>
      <c r="M182" s="117" t="s">
        <v>374</v>
      </c>
      <c r="N182" s="118" t="s">
        <v>374</v>
      </c>
      <c r="O182" s="65" t="s">
        <v>374</v>
      </c>
      <c r="P182" s="65" t="s">
        <v>374</v>
      </c>
    </row>
    <row r="183" spans="1:16" ht="15.75" customHeight="1">
      <c r="A183" s="131" t="s">
        <v>889</v>
      </c>
      <c r="B183" s="26">
        <f>SUM(C183:P183)</f>
        <v>415</v>
      </c>
      <c r="C183" s="117" t="s">
        <v>374</v>
      </c>
      <c r="D183" s="117" t="s">
        <v>374</v>
      </c>
      <c r="E183" s="117" t="s">
        <v>374</v>
      </c>
      <c r="F183" s="117" t="s">
        <v>374</v>
      </c>
      <c r="G183" s="117" t="s">
        <v>374</v>
      </c>
      <c r="H183" s="117" t="s">
        <v>374</v>
      </c>
      <c r="I183" s="24">
        <f>'c-19'!C59</f>
        <v>415</v>
      </c>
      <c r="J183" s="117" t="s">
        <v>374</v>
      </c>
      <c r="K183" s="117" t="s">
        <v>374</v>
      </c>
      <c r="L183" s="117" t="s">
        <v>374</v>
      </c>
      <c r="M183" s="117" t="s">
        <v>374</v>
      </c>
      <c r="N183" s="118" t="s">
        <v>374</v>
      </c>
      <c r="O183" s="65" t="s">
        <v>374</v>
      </c>
      <c r="P183" s="65" t="s">
        <v>374</v>
      </c>
    </row>
    <row r="184" spans="1:16" ht="15.75" customHeight="1">
      <c r="A184" s="131" t="s">
        <v>581</v>
      </c>
      <c r="B184" s="26">
        <f t="shared" si="6"/>
        <v>1612</v>
      </c>
      <c r="C184" s="117" t="s">
        <v>374</v>
      </c>
      <c r="D184" s="117" t="s">
        <v>374</v>
      </c>
      <c r="E184" s="117" t="s">
        <v>374</v>
      </c>
      <c r="F184" s="117" t="s">
        <v>374</v>
      </c>
      <c r="G184" s="117" t="s">
        <v>374</v>
      </c>
      <c r="H184" s="117" t="s">
        <v>374</v>
      </c>
      <c r="I184" s="24">
        <f>'c-19'!C67</f>
        <v>1612</v>
      </c>
      <c r="J184" s="117" t="s">
        <v>374</v>
      </c>
      <c r="K184" s="117" t="s">
        <v>374</v>
      </c>
      <c r="L184" s="117" t="s">
        <v>374</v>
      </c>
      <c r="M184" s="117" t="s">
        <v>374</v>
      </c>
      <c r="N184" s="118" t="s">
        <v>374</v>
      </c>
      <c r="O184" s="65" t="s">
        <v>374</v>
      </c>
      <c r="P184" s="65" t="s">
        <v>374</v>
      </c>
    </row>
    <row r="185" spans="1:16" ht="15.75" customHeight="1">
      <c r="A185" s="131" t="s">
        <v>582</v>
      </c>
      <c r="B185" s="26">
        <f t="shared" si="6"/>
        <v>1301</v>
      </c>
      <c r="C185" s="117" t="s">
        <v>374</v>
      </c>
      <c r="D185" s="117" t="s">
        <v>374</v>
      </c>
      <c r="E185" s="117" t="s">
        <v>374</v>
      </c>
      <c r="F185" s="117" t="s">
        <v>374</v>
      </c>
      <c r="G185" s="117" t="s">
        <v>374</v>
      </c>
      <c r="H185" s="117" t="s">
        <v>374</v>
      </c>
      <c r="I185" s="24">
        <f>'c-19'!C68</f>
        <v>1301</v>
      </c>
      <c r="J185" s="117" t="s">
        <v>374</v>
      </c>
      <c r="K185" s="117" t="s">
        <v>374</v>
      </c>
      <c r="L185" s="117" t="s">
        <v>374</v>
      </c>
      <c r="M185" s="117" t="s">
        <v>374</v>
      </c>
      <c r="N185" s="118" t="s">
        <v>374</v>
      </c>
      <c r="O185" s="65" t="s">
        <v>374</v>
      </c>
      <c r="P185" s="65" t="s">
        <v>374</v>
      </c>
    </row>
    <row r="186" spans="1:16" ht="15.75" customHeight="1">
      <c r="A186" s="131" t="s">
        <v>192</v>
      </c>
      <c r="B186" s="26">
        <f t="shared" si="6"/>
        <v>1012</v>
      </c>
      <c r="C186" s="117" t="s">
        <v>374</v>
      </c>
      <c r="D186" s="117" t="s">
        <v>374</v>
      </c>
      <c r="E186" s="117" t="s">
        <v>374</v>
      </c>
      <c r="F186" s="117" t="s">
        <v>374</v>
      </c>
      <c r="G186" s="117" t="s">
        <v>374</v>
      </c>
      <c r="H186" s="117" t="s">
        <v>374</v>
      </c>
      <c r="I186" s="24">
        <f>'c-19'!C66</f>
        <v>1012</v>
      </c>
      <c r="J186" s="117" t="s">
        <v>374</v>
      </c>
      <c r="K186" s="117" t="s">
        <v>374</v>
      </c>
      <c r="L186" s="117" t="s">
        <v>374</v>
      </c>
      <c r="M186" s="117" t="s">
        <v>374</v>
      </c>
      <c r="N186" s="118" t="s">
        <v>374</v>
      </c>
      <c r="O186" s="65" t="s">
        <v>374</v>
      </c>
      <c r="P186" s="65" t="s">
        <v>374</v>
      </c>
    </row>
    <row r="187" spans="1:16" ht="15.75" customHeight="1">
      <c r="A187" s="131" t="s">
        <v>683</v>
      </c>
      <c r="B187" s="26">
        <f t="shared" si="6"/>
        <v>650</v>
      </c>
      <c r="C187" s="117" t="s">
        <v>374</v>
      </c>
      <c r="D187" s="117" t="s">
        <v>374</v>
      </c>
      <c r="E187" s="117" t="s">
        <v>374</v>
      </c>
      <c r="F187" s="117" t="s">
        <v>374</v>
      </c>
      <c r="G187" s="117" t="s">
        <v>374</v>
      </c>
      <c r="H187" s="117" t="s">
        <v>374</v>
      </c>
      <c r="I187" s="24">
        <f>'c-19'!C63</f>
        <v>650</v>
      </c>
      <c r="J187" s="117" t="s">
        <v>374</v>
      </c>
      <c r="K187" s="117" t="s">
        <v>374</v>
      </c>
      <c r="L187" s="117" t="s">
        <v>374</v>
      </c>
      <c r="M187" s="117" t="s">
        <v>374</v>
      </c>
      <c r="N187" s="118" t="s">
        <v>374</v>
      </c>
      <c r="O187" s="65" t="s">
        <v>374</v>
      </c>
      <c r="P187" s="65" t="s">
        <v>374</v>
      </c>
    </row>
    <row r="188" spans="1:16" ht="15.75" customHeight="1">
      <c r="A188" s="131" t="s">
        <v>477</v>
      </c>
      <c r="B188" s="26">
        <f t="shared" si="6"/>
        <v>753</v>
      </c>
      <c r="C188" s="117" t="s">
        <v>374</v>
      </c>
      <c r="D188" s="117" t="s">
        <v>374</v>
      </c>
      <c r="E188" s="117" t="s">
        <v>374</v>
      </c>
      <c r="F188" s="117" t="s">
        <v>374</v>
      </c>
      <c r="G188" s="117" t="s">
        <v>374</v>
      </c>
      <c r="H188" s="117" t="s">
        <v>374</v>
      </c>
      <c r="I188" s="24">
        <f>'c-19'!C69</f>
        <v>753</v>
      </c>
      <c r="J188" s="117" t="s">
        <v>374</v>
      </c>
      <c r="K188" s="117" t="s">
        <v>374</v>
      </c>
      <c r="L188" s="117" t="s">
        <v>374</v>
      </c>
      <c r="M188" s="117" t="s">
        <v>374</v>
      </c>
      <c r="N188" s="118" t="s">
        <v>374</v>
      </c>
      <c r="O188" s="65" t="s">
        <v>374</v>
      </c>
      <c r="P188" s="65" t="s">
        <v>374</v>
      </c>
    </row>
    <row r="189" spans="1:16" ht="15.75" customHeight="1">
      <c r="A189" s="120" t="s">
        <v>478</v>
      </c>
      <c r="B189" s="26">
        <f t="shared" si="6"/>
        <v>3947</v>
      </c>
      <c r="C189" s="117" t="s">
        <v>374</v>
      </c>
      <c r="D189" s="117" t="s">
        <v>374</v>
      </c>
      <c r="E189" s="117" t="s">
        <v>374</v>
      </c>
      <c r="F189" s="117" t="s">
        <v>374</v>
      </c>
      <c r="G189" s="117" t="s">
        <v>374</v>
      </c>
      <c r="H189" s="117" t="s">
        <v>374</v>
      </c>
      <c r="I189" s="24">
        <f>'c-19'!C72</f>
        <v>3947</v>
      </c>
      <c r="J189" s="117" t="s">
        <v>374</v>
      </c>
      <c r="K189" s="117" t="s">
        <v>374</v>
      </c>
      <c r="L189" s="117" t="s">
        <v>374</v>
      </c>
      <c r="M189" s="117" t="s">
        <v>374</v>
      </c>
      <c r="N189" s="118" t="s">
        <v>374</v>
      </c>
      <c r="O189" s="65" t="s">
        <v>374</v>
      </c>
      <c r="P189" s="65" t="s">
        <v>374</v>
      </c>
    </row>
    <row r="190" spans="1:16" ht="15.75" customHeight="1">
      <c r="A190" s="120" t="s">
        <v>479</v>
      </c>
      <c r="B190" s="26">
        <f t="shared" si="6"/>
        <v>4022</v>
      </c>
      <c r="C190" s="117" t="s">
        <v>374</v>
      </c>
      <c r="D190" s="117" t="s">
        <v>374</v>
      </c>
      <c r="E190" s="117" t="s">
        <v>374</v>
      </c>
      <c r="F190" s="117" t="s">
        <v>374</v>
      </c>
      <c r="G190" s="117" t="s">
        <v>374</v>
      </c>
      <c r="H190" s="117" t="s">
        <v>374</v>
      </c>
      <c r="I190" s="24">
        <f>'c-19'!C76</f>
        <v>4022</v>
      </c>
      <c r="J190" s="117" t="s">
        <v>374</v>
      </c>
      <c r="K190" s="117" t="s">
        <v>374</v>
      </c>
      <c r="L190" s="117" t="s">
        <v>374</v>
      </c>
      <c r="M190" s="117" t="s">
        <v>374</v>
      </c>
      <c r="N190" s="118" t="s">
        <v>374</v>
      </c>
      <c r="O190" s="65" t="s">
        <v>374</v>
      </c>
      <c r="P190" s="65" t="s">
        <v>374</v>
      </c>
    </row>
    <row r="191" spans="1:16" s="91" customFormat="1" ht="15.75" customHeight="1">
      <c r="A191" s="120" t="s">
        <v>480</v>
      </c>
      <c r="B191" s="26">
        <f t="shared" si="6"/>
        <v>982</v>
      </c>
      <c r="C191" s="117" t="s">
        <v>374</v>
      </c>
      <c r="D191" s="117" t="s">
        <v>374</v>
      </c>
      <c r="E191" s="117" t="s">
        <v>374</v>
      </c>
      <c r="F191" s="117" t="s">
        <v>374</v>
      </c>
      <c r="G191" s="117" t="s">
        <v>374</v>
      </c>
      <c r="H191" s="117" t="s">
        <v>374</v>
      </c>
      <c r="I191" s="24">
        <f>'c-19'!C73</f>
        <v>982</v>
      </c>
      <c r="J191" s="117" t="s">
        <v>374</v>
      </c>
      <c r="K191" s="117" t="s">
        <v>374</v>
      </c>
      <c r="L191" s="117" t="s">
        <v>374</v>
      </c>
      <c r="M191" s="117" t="s">
        <v>374</v>
      </c>
      <c r="N191" s="118" t="s">
        <v>374</v>
      </c>
      <c r="O191" s="65" t="s">
        <v>374</v>
      </c>
      <c r="P191" s="65" t="s">
        <v>374</v>
      </c>
    </row>
    <row r="192" spans="1:16" ht="15.75" customHeight="1">
      <c r="A192" s="131" t="s">
        <v>481</v>
      </c>
      <c r="B192" s="26">
        <f t="shared" si="6"/>
        <v>1496</v>
      </c>
      <c r="C192" s="117" t="s">
        <v>374</v>
      </c>
      <c r="D192" s="117" t="s">
        <v>374</v>
      </c>
      <c r="E192" s="117" t="s">
        <v>374</v>
      </c>
      <c r="F192" s="117" t="s">
        <v>374</v>
      </c>
      <c r="G192" s="117" t="s">
        <v>374</v>
      </c>
      <c r="H192" s="118" t="s">
        <v>374</v>
      </c>
      <c r="I192" s="24">
        <f>'c-19'!C77</f>
        <v>1496</v>
      </c>
      <c r="J192" s="64" t="s">
        <v>374</v>
      </c>
      <c r="K192" s="117" t="s">
        <v>374</v>
      </c>
      <c r="L192" s="117" t="s">
        <v>374</v>
      </c>
      <c r="M192" s="117" t="s">
        <v>374</v>
      </c>
      <c r="N192" s="118" t="s">
        <v>374</v>
      </c>
      <c r="O192" s="65" t="s">
        <v>374</v>
      </c>
      <c r="P192" s="65" t="s">
        <v>374</v>
      </c>
    </row>
    <row r="193" spans="1:16" ht="15.75" customHeight="1">
      <c r="A193" s="113"/>
      <c r="B193" s="26"/>
      <c r="C193" s="51"/>
      <c r="D193" s="51"/>
      <c r="E193" s="51"/>
      <c r="F193" s="51"/>
      <c r="G193" s="51"/>
      <c r="H193" s="51"/>
      <c r="I193" s="117"/>
      <c r="J193" s="51"/>
      <c r="K193" s="51"/>
      <c r="L193" s="117"/>
      <c r="M193" s="51"/>
      <c r="N193" s="21"/>
      <c r="O193" s="65"/>
      <c r="P193" s="65"/>
    </row>
    <row r="194" spans="1:16" ht="15.75" customHeight="1">
      <c r="A194" s="106" t="s">
        <v>482</v>
      </c>
      <c r="B194" s="62">
        <f>SUM(B196:B202)</f>
        <v>5797</v>
      </c>
      <c r="C194" s="97" t="s">
        <v>374</v>
      </c>
      <c r="D194" s="97" t="s">
        <v>374</v>
      </c>
      <c r="E194" s="97" t="s">
        <v>374</v>
      </c>
      <c r="F194" s="97" t="s">
        <v>374</v>
      </c>
      <c r="G194" s="97" t="s">
        <v>374</v>
      </c>
      <c r="H194" s="97" t="s">
        <v>374</v>
      </c>
      <c r="I194" s="97" t="s">
        <v>374</v>
      </c>
      <c r="J194" s="97" t="s">
        <v>374</v>
      </c>
      <c r="K194" s="97" t="s">
        <v>374</v>
      </c>
      <c r="L194" s="97" t="s">
        <v>374</v>
      </c>
      <c r="M194" s="62">
        <f>SUM(M196:M203)</f>
        <v>6242</v>
      </c>
      <c r="N194" s="98" t="s">
        <v>374</v>
      </c>
      <c r="O194" s="112" t="s">
        <v>374</v>
      </c>
      <c r="P194" s="112" t="s">
        <v>374</v>
      </c>
    </row>
    <row r="195" spans="1:16" ht="15.75" customHeight="1">
      <c r="A195" s="120"/>
      <c r="B195" s="64"/>
      <c r="C195" s="51"/>
      <c r="D195" s="51"/>
      <c r="E195" s="51"/>
      <c r="F195" s="51"/>
      <c r="G195" s="51"/>
      <c r="H195" s="51"/>
      <c r="I195" s="51"/>
      <c r="J195" s="51"/>
      <c r="K195" s="51"/>
      <c r="L195" s="117"/>
      <c r="M195" s="117"/>
      <c r="N195" s="21"/>
      <c r="O195" s="65"/>
      <c r="P195" s="65"/>
    </row>
    <row r="196" spans="1:16" ht="15.75" customHeight="1">
      <c r="A196" s="120" t="s">
        <v>483</v>
      </c>
      <c r="B196" s="26">
        <f t="shared" ref="B196:B203" si="7">SUM(C196:P196)</f>
        <v>2857</v>
      </c>
      <c r="C196" s="117" t="s">
        <v>374</v>
      </c>
      <c r="D196" s="117" t="s">
        <v>374</v>
      </c>
      <c r="E196" s="117" t="s">
        <v>374</v>
      </c>
      <c r="F196" s="117" t="s">
        <v>374</v>
      </c>
      <c r="G196" s="117" t="s">
        <v>374</v>
      </c>
      <c r="H196" s="117" t="s">
        <v>374</v>
      </c>
      <c r="I196" s="117" t="s">
        <v>374</v>
      </c>
      <c r="J196" s="117" t="s">
        <v>374</v>
      </c>
      <c r="K196" s="117" t="s">
        <v>374</v>
      </c>
      <c r="L196" s="117" t="s">
        <v>374</v>
      </c>
      <c r="M196" s="24">
        <f>'c-22'!C12</f>
        <v>2857</v>
      </c>
      <c r="N196" s="118" t="s">
        <v>374</v>
      </c>
      <c r="O196" s="65" t="s">
        <v>374</v>
      </c>
      <c r="P196" s="65" t="s">
        <v>374</v>
      </c>
    </row>
    <row r="197" spans="1:16" ht="15.75" customHeight="1">
      <c r="A197" s="120" t="s">
        <v>450</v>
      </c>
      <c r="B197" s="26">
        <f t="shared" si="7"/>
        <v>549</v>
      </c>
      <c r="C197" s="117" t="s">
        <v>374</v>
      </c>
      <c r="D197" s="117" t="s">
        <v>374</v>
      </c>
      <c r="E197" s="117" t="s">
        <v>374</v>
      </c>
      <c r="F197" s="117" t="s">
        <v>374</v>
      </c>
      <c r="G197" s="117" t="s">
        <v>374</v>
      </c>
      <c r="H197" s="117" t="s">
        <v>374</v>
      </c>
      <c r="I197" s="117" t="s">
        <v>374</v>
      </c>
      <c r="J197" s="117" t="s">
        <v>374</v>
      </c>
      <c r="K197" s="117" t="s">
        <v>374</v>
      </c>
      <c r="L197" s="117" t="s">
        <v>374</v>
      </c>
      <c r="M197" s="24">
        <f>'c-22'!C16</f>
        <v>549</v>
      </c>
      <c r="N197" s="118" t="s">
        <v>374</v>
      </c>
      <c r="O197" s="65" t="s">
        <v>374</v>
      </c>
      <c r="P197" s="65" t="s">
        <v>374</v>
      </c>
    </row>
    <row r="198" spans="1:16" ht="15.75" customHeight="1">
      <c r="A198" s="120" t="s">
        <v>1037</v>
      </c>
      <c r="B198" s="26">
        <f t="shared" si="7"/>
        <v>337</v>
      </c>
      <c r="C198" s="117" t="s">
        <v>374</v>
      </c>
      <c r="D198" s="117" t="s">
        <v>374</v>
      </c>
      <c r="E198" s="117" t="s">
        <v>374</v>
      </c>
      <c r="F198" s="117" t="s">
        <v>374</v>
      </c>
      <c r="G198" s="117" t="s">
        <v>374</v>
      </c>
      <c r="H198" s="117" t="s">
        <v>374</v>
      </c>
      <c r="I198" s="117" t="s">
        <v>374</v>
      </c>
      <c r="J198" s="117" t="s">
        <v>374</v>
      </c>
      <c r="K198" s="117" t="s">
        <v>374</v>
      </c>
      <c r="L198" s="117" t="s">
        <v>374</v>
      </c>
      <c r="M198" s="24">
        <f>'c-22'!C19</f>
        <v>337</v>
      </c>
      <c r="N198" s="117" t="s">
        <v>374</v>
      </c>
      <c r="O198" s="117" t="s">
        <v>374</v>
      </c>
      <c r="P198" s="65" t="s">
        <v>374</v>
      </c>
    </row>
    <row r="199" spans="1:16" ht="15.75" customHeight="1">
      <c r="A199" s="120" t="s">
        <v>451</v>
      </c>
      <c r="B199" s="26">
        <f t="shared" si="7"/>
        <v>692</v>
      </c>
      <c r="C199" s="117" t="s">
        <v>374</v>
      </c>
      <c r="D199" s="117" t="s">
        <v>374</v>
      </c>
      <c r="E199" s="117" t="s">
        <v>374</v>
      </c>
      <c r="F199" s="117" t="s">
        <v>374</v>
      </c>
      <c r="G199" s="117" t="s">
        <v>374</v>
      </c>
      <c r="H199" s="117" t="s">
        <v>374</v>
      </c>
      <c r="I199" s="117" t="s">
        <v>374</v>
      </c>
      <c r="J199" s="117" t="s">
        <v>374</v>
      </c>
      <c r="K199" s="117" t="s">
        <v>374</v>
      </c>
      <c r="L199" s="117" t="s">
        <v>374</v>
      </c>
      <c r="M199" s="24">
        <f>'c-22'!C27</f>
        <v>692</v>
      </c>
      <c r="N199" s="118" t="s">
        <v>374</v>
      </c>
      <c r="O199" s="65" t="s">
        <v>374</v>
      </c>
      <c r="P199" s="65" t="s">
        <v>374</v>
      </c>
    </row>
    <row r="200" spans="1:16" s="91" customFormat="1" ht="15.6">
      <c r="A200" s="120" t="s">
        <v>426</v>
      </c>
      <c r="B200" s="26">
        <f t="shared" si="7"/>
        <v>558</v>
      </c>
      <c r="C200" s="117" t="s">
        <v>374</v>
      </c>
      <c r="D200" s="117" t="s">
        <v>374</v>
      </c>
      <c r="E200" s="117" t="s">
        <v>374</v>
      </c>
      <c r="F200" s="117" t="s">
        <v>374</v>
      </c>
      <c r="G200" s="117" t="s">
        <v>374</v>
      </c>
      <c r="H200" s="117" t="s">
        <v>374</v>
      </c>
      <c r="I200" s="117" t="s">
        <v>374</v>
      </c>
      <c r="J200" s="117" t="s">
        <v>374</v>
      </c>
      <c r="K200" s="117" t="s">
        <v>374</v>
      </c>
      <c r="L200" s="117" t="s">
        <v>374</v>
      </c>
      <c r="M200" s="24">
        <f>'c-22'!C31</f>
        <v>558</v>
      </c>
      <c r="N200" s="118" t="s">
        <v>374</v>
      </c>
      <c r="O200" s="65" t="s">
        <v>374</v>
      </c>
      <c r="P200" s="65" t="s">
        <v>374</v>
      </c>
    </row>
    <row r="201" spans="1:16" ht="15.6">
      <c r="A201" s="120" t="s">
        <v>427</v>
      </c>
      <c r="B201" s="26">
        <f t="shared" si="7"/>
        <v>369</v>
      </c>
      <c r="C201" s="117" t="s">
        <v>374</v>
      </c>
      <c r="D201" s="117" t="s">
        <v>374</v>
      </c>
      <c r="E201" s="117" t="s">
        <v>374</v>
      </c>
      <c r="F201" s="117" t="s">
        <v>374</v>
      </c>
      <c r="G201" s="117" t="s">
        <v>374</v>
      </c>
      <c r="H201" s="117" t="s">
        <v>374</v>
      </c>
      <c r="I201" s="117" t="s">
        <v>374</v>
      </c>
      <c r="J201" s="117" t="s">
        <v>374</v>
      </c>
      <c r="K201" s="117" t="s">
        <v>374</v>
      </c>
      <c r="L201" s="117" t="s">
        <v>374</v>
      </c>
      <c r="M201" s="24">
        <f>'c-22'!C43</f>
        <v>369</v>
      </c>
      <c r="N201" s="118" t="s">
        <v>374</v>
      </c>
      <c r="O201" s="65" t="s">
        <v>374</v>
      </c>
      <c r="P201" s="65" t="s">
        <v>374</v>
      </c>
    </row>
    <row r="202" spans="1:16" ht="15.6">
      <c r="A202" s="120" t="s">
        <v>890</v>
      </c>
      <c r="B202" s="26">
        <f t="shared" si="7"/>
        <v>435</v>
      </c>
      <c r="C202" s="117" t="s">
        <v>374</v>
      </c>
      <c r="D202" s="117" t="s">
        <v>374</v>
      </c>
      <c r="E202" s="117" t="s">
        <v>374</v>
      </c>
      <c r="F202" s="117" t="s">
        <v>374</v>
      </c>
      <c r="G202" s="117" t="s">
        <v>374</v>
      </c>
      <c r="H202" s="117" t="s">
        <v>374</v>
      </c>
      <c r="I202" s="117" t="s">
        <v>374</v>
      </c>
      <c r="J202" s="117" t="s">
        <v>374</v>
      </c>
      <c r="K202" s="117" t="s">
        <v>374</v>
      </c>
      <c r="L202" s="117" t="s">
        <v>374</v>
      </c>
      <c r="M202" s="24">
        <f>'c-22'!C56</f>
        <v>435</v>
      </c>
      <c r="N202" s="118" t="s">
        <v>374</v>
      </c>
      <c r="O202" s="65" t="s">
        <v>374</v>
      </c>
      <c r="P202" s="65" t="s">
        <v>374</v>
      </c>
    </row>
    <row r="203" spans="1:16" ht="15.6">
      <c r="A203" s="120" t="s">
        <v>1017</v>
      </c>
      <c r="B203" s="26">
        <f t="shared" si="7"/>
        <v>445</v>
      </c>
      <c r="C203" s="117" t="s">
        <v>374</v>
      </c>
      <c r="D203" s="117" t="s">
        <v>374</v>
      </c>
      <c r="E203" s="117" t="s">
        <v>374</v>
      </c>
      <c r="F203" s="117" t="s">
        <v>374</v>
      </c>
      <c r="G203" s="117" t="s">
        <v>374</v>
      </c>
      <c r="H203" s="117" t="s">
        <v>374</v>
      </c>
      <c r="I203" s="117" t="s">
        <v>374</v>
      </c>
      <c r="J203" s="117" t="s">
        <v>374</v>
      </c>
      <c r="K203" s="117" t="s">
        <v>374</v>
      </c>
      <c r="L203" s="117" t="s">
        <v>374</v>
      </c>
      <c r="M203" s="121">
        <f>'c-22'!C59</f>
        <v>445</v>
      </c>
      <c r="N203" s="117" t="s">
        <v>374</v>
      </c>
      <c r="O203" s="117" t="s">
        <v>374</v>
      </c>
      <c r="P203" s="65" t="s">
        <v>374</v>
      </c>
    </row>
    <row r="204" spans="1:16" ht="15.6">
      <c r="A204" s="113"/>
      <c r="B204" s="26"/>
      <c r="C204" s="51"/>
      <c r="D204" s="51"/>
      <c r="E204" s="51"/>
      <c r="F204" s="51"/>
      <c r="G204" s="51"/>
      <c r="H204" s="51"/>
      <c r="I204" s="51"/>
      <c r="J204" s="51"/>
      <c r="K204" s="51"/>
      <c r="L204" s="117"/>
      <c r="M204" s="51"/>
      <c r="N204" s="21"/>
      <c r="O204" s="65"/>
      <c r="P204" s="65"/>
    </row>
    <row r="205" spans="1:16" ht="15.6">
      <c r="A205" s="106" t="s">
        <v>484</v>
      </c>
      <c r="B205" s="97">
        <f>SUM(B207:B225)</f>
        <v>13363</v>
      </c>
      <c r="C205" s="97">
        <f t="shared" ref="C205:H205" si="8">SUM(C207:C225)</f>
        <v>3121</v>
      </c>
      <c r="D205" s="97" t="s">
        <v>374</v>
      </c>
      <c r="E205" s="97">
        <f t="shared" si="8"/>
        <v>0</v>
      </c>
      <c r="F205" s="97">
        <f t="shared" si="8"/>
        <v>2565</v>
      </c>
      <c r="G205" s="97">
        <f t="shared" si="8"/>
        <v>548</v>
      </c>
      <c r="H205" s="97">
        <f t="shared" si="8"/>
        <v>3533</v>
      </c>
      <c r="I205" s="97" t="s">
        <v>374</v>
      </c>
      <c r="J205" s="97" t="s">
        <v>374</v>
      </c>
      <c r="K205" s="97" t="s">
        <v>374</v>
      </c>
      <c r="L205" s="62" t="s">
        <v>374</v>
      </c>
      <c r="M205" s="97">
        <f>SUM(M207:M225)</f>
        <v>627</v>
      </c>
      <c r="N205" s="97">
        <f>SUM(N207:N225)</f>
        <v>2969</v>
      </c>
      <c r="O205" s="112" t="s">
        <v>374</v>
      </c>
      <c r="P205" s="112" t="s">
        <v>374</v>
      </c>
    </row>
    <row r="206" spans="1:16" ht="15.6">
      <c r="A206" s="120"/>
      <c r="B206" s="64"/>
      <c r="C206" s="117"/>
      <c r="D206" s="117"/>
      <c r="E206" s="51"/>
      <c r="F206" s="65"/>
      <c r="G206" s="26"/>
      <c r="H206" s="117"/>
      <c r="I206" s="51"/>
      <c r="J206" s="51"/>
      <c r="K206" s="51"/>
      <c r="L206" s="117"/>
      <c r="M206" s="117"/>
      <c r="N206" s="118"/>
      <c r="O206" s="65"/>
      <c r="P206" s="65"/>
    </row>
    <row r="207" spans="1:16" ht="15.6">
      <c r="A207" s="120" t="s">
        <v>485</v>
      </c>
      <c r="B207" s="26">
        <f t="shared" ref="B207:B224" si="9">SUM(C207:P207)</f>
        <v>923</v>
      </c>
      <c r="C207" s="24">
        <f>'c-10'!C33</f>
        <v>168</v>
      </c>
      <c r="D207" s="121" t="s">
        <v>374</v>
      </c>
      <c r="E207" s="117" t="s">
        <v>374</v>
      </c>
      <c r="F207" s="65">
        <f>'c-14'!C21</f>
        <v>684</v>
      </c>
      <c r="G207" s="64" t="s">
        <v>374</v>
      </c>
      <c r="H207" s="65">
        <f>'c-17'!C27</f>
        <v>71</v>
      </c>
      <c r="I207" s="64" t="s">
        <v>374</v>
      </c>
      <c r="J207" s="117" t="s">
        <v>374</v>
      </c>
      <c r="K207" s="117" t="s">
        <v>374</v>
      </c>
      <c r="L207" s="117" t="s">
        <v>374</v>
      </c>
      <c r="M207" s="117" t="s">
        <v>374</v>
      </c>
      <c r="N207" s="118" t="s">
        <v>374</v>
      </c>
      <c r="O207" s="65" t="s">
        <v>374</v>
      </c>
      <c r="P207" s="65" t="s">
        <v>374</v>
      </c>
    </row>
    <row r="208" spans="1:16" ht="15.6">
      <c r="A208" s="120" t="s">
        <v>486</v>
      </c>
      <c r="B208" s="26">
        <f t="shared" si="9"/>
        <v>520</v>
      </c>
      <c r="C208" s="24">
        <f>'c-10'!C32</f>
        <v>313</v>
      </c>
      <c r="D208" s="121" t="s">
        <v>374</v>
      </c>
      <c r="E208" s="117" t="s">
        <v>374</v>
      </c>
      <c r="F208" s="66" t="s">
        <v>374</v>
      </c>
      <c r="G208" s="64" t="s">
        <v>374</v>
      </c>
      <c r="H208" s="65">
        <f>'c-17'!C28</f>
        <v>207</v>
      </c>
      <c r="I208" s="64" t="s">
        <v>374</v>
      </c>
      <c r="J208" s="117" t="s">
        <v>374</v>
      </c>
      <c r="K208" s="117" t="s">
        <v>374</v>
      </c>
      <c r="L208" s="117" t="s">
        <v>374</v>
      </c>
      <c r="M208" s="117" t="s">
        <v>374</v>
      </c>
      <c r="N208" s="118" t="s">
        <v>374</v>
      </c>
      <c r="O208" s="65" t="s">
        <v>374</v>
      </c>
      <c r="P208" s="65" t="s">
        <v>374</v>
      </c>
    </row>
    <row r="209" spans="1:16" ht="15.6">
      <c r="A209" s="120" t="s">
        <v>174</v>
      </c>
      <c r="B209" s="26">
        <f t="shared" si="9"/>
        <v>1068</v>
      </c>
      <c r="C209" s="53">
        <f>'c-10'!C16</f>
        <v>147</v>
      </c>
      <c r="D209" s="24" t="s">
        <v>374</v>
      </c>
      <c r="E209" s="64" t="s">
        <v>374</v>
      </c>
      <c r="F209" s="65">
        <f>'c-14'!C15</f>
        <v>363</v>
      </c>
      <c r="G209" s="64" t="s">
        <v>374</v>
      </c>
      <c r="H209" s="65">
        <f>'c-17'!C13</f>
        <v>103</v>
      </c>
      <c r="I209" s="64" t="s">
        <v>374</v>
      </c>
      <c r="J209" s="117" t="s">
        <v>374</v>
      </c>
      <c r="K209" s="117" t="s">
        <v>374</v>
      </c>
      <c r="L209" s="117" t="s">
        <v>374</v>
      </c>
      <c r="M209" s="64">
        <f>'c-22'!C13</f>
        <v>52</v>
      </c>
      <c r="N209" s="65">
        <f>'c-16'!C13</f>
        <v>403</v>
      </c>
      <c r="O209" s="65" t="s">
        <v>374</v>
      </c>
      <c r="P209" s="65" t="s">
        <v>374</v>
      </c>
    </row>
    <row r="210" spans="1:16" ht="15.6">
      <c r="A210" s="120" t="s">
        <v>156</v>
      </c>
      <c r="B210" s="26">
        <f t="shared" si="9"/>
        <v>522</v>
      </c>
      <c r="C210" s="24">
        <f>'c-10'!C121</f>
        <v>194</v>
      </c>
      <c r="D210" s="121" t="s">
        <v>374</v>
      </c>
      <c r="E210" s="117" t="s">
        <v>374</v>
      </c>
      <c r="F210" s="66" t="s">
        <v>374</v>
      </c>
      <c r="G210" s="24" t="s">
        <v>374</v>
      </c>
      <c r="H210" s="65">
        <f>'c-17'!C116</f>
        <v>328</v>
      </c>
      <c r="I210" s="64" t="s">
        <v>374</v>
      </c>
      <c r="J210" s="117" t="s">
        <v>374</v>
      </c>
      <c r="K210" s="117" t="s">
        <v>374</v>
      </c>
      <c r="L210" s="117" t="s">
        <v>374</v>
      </c>
      <c r="M210" s="117" t="s">
        <v>374</v>
      </c>
      <c r="N210" s="118" t="s">
        <v>374</v>
      </c>
      <c r="O210" s="65" t="s">
        <v>374</v>
      </c>
      <c r="P210" s="65" t="s">
        <v>374</v>
      </c>
    </row>
    <row r="211" spans="1:16" ht="15.6">
      <c r="A211" s="120" t="s">
        <v>487</v>
      </c>
      <c r="B211" s="26">
        <f t="shared" si="9"/>
        <v>478</v>
      </c>
      <c r="C211" s="24">
        <f>'c-10'!C60</f>
        <v>218</v>
      </c>
      <c r="D211" s="121" t="s">
        <v>374</v>
      </c>
      <c r="E211" s="117" t="s">
        <v>374</v>
      </c>
      <c r="F211" s="117" t="s">
        <v>374</v>
      </c>
      <c r="G211" s="117" t="s">
        <v>374</v>
      </c>
      <c r="H211" s="65">
        <f>'c-17'!C54</f>
        <v>260</v>
      </c>
      <c r="I211" s="64" t="s">
        <v>374</v>
      </c>
      <c r="J211" s="117" t="s">
        <v>374</v>
      </c>
      <c r="K211" s="117" t="s">
        <v>374</v>
      </c>
      <c r="L211" s="117" t="s">
        <v>374</v>
      </c>
      <c r="M211" s="117" t="s">
        <v>374</v>
      </c>
      <c r="N211" s="118" t="s">
        <v>374</v>
      </c>
      <c r="O211" s="65" t="s">
        <v>374</v>
      </c>
      <c r="P211" s="65" t="s">
        <v>374</v>
      </c>
    </row>
    <row r="212" spans="1:16" ht="15.6">
      <c r="A212" s="120" t="s">
        <v>488</v>
      </c>
      <c r="B212" s="26">
        <f t="shared" si="9"/>
        <v>649</v>
      </c>
      <c r="C212" s="24">
        <f>'c-10'!C59</f>
        <v>222</v>
      </c>
      <c r="D212" s="121" t="s">
        <v>374</v>
      </c>
      <c r="E212" s="117" t="s">
        <v>374</v>
      </c>
      <c r="F212" s="117" t="s">
        <v>374</v>
      </c>
      <c r="G212" s="117">
        <f>'c-12'!C22</f>
        <v>175</v>
      </c>
      <c r="H212" s="65">
        <f>'c-17'!C55</f>
        <v>252</v>
      </c>
      <c r="I212" s="64" t="s">
        <v>374</v>
      </c>
      <c r="J212" s="117" t="s">
        <v>374</v>
      </c>
      <c r="K212" s="117" t="s">
        <v>374</v>
      </c>
      <c r="L212" s="117" t="s">
        <v>374</v>
      </c>
      <c r="M212" s="117" t="s">
        <v>374</v>
      </c>
      <c r="N212" s="118" t="s">
        <v>374</v>
      </c>
      <c r="O212" s="65" t="s">
        <v>374</v>
      </c>
      <c r="P212" s="65" t="s">
        <v>374</v>
      </c>
    </row>
    <row r="213" spans="1:16" ht="15.6">
      <c r="A213" s="120" t="s">
        <v>489</v>
      </c>
      <c r="B213" s="26">
        <f t="shared" si="9"/>
        <v>656</v>
      </c>
      <c r="C213" s="24">
        <f>'c-10'!C50</f>
        <v>291</v>
      </c>
      <c r="D213" s="121" t="s">
        <v>374</v>
      </c>
      <c r="E213" s="117" t="s">
        <v>374</v>
      </c>
      <c r="F213" s="117" t="s">
        <v>374</v>
      </c>
      <c r="G213" s="117" t="s">
        <v>374</v>
      </c>
      <c r="H213" s="65">
        <f>'c-17'!C45</f>
        <v>365</v>
      </c>
      <c r="I213" s="64" t="s">
        <v>374</v>
      </c>
      <c r="J213" s="117" t="s">
        <v>374</v>
      </c>
      <c r="K213" s="117" t="s">
        <v>374</v>
      </c>
      <c r="L213" s="117" t="s">
        <v>374</v>
      </c>
      <c r="M213" s="117" t="s">
        <v>374</v>
      </c>
      <c r="N213" s="118" t="s">
        <v>374</v>
      </c>
      <c r="O213" s="65" t="s">
        <v>374</v>
      </c>
      <c r="P213" s="65" t="s">
        <v>374</v>
      </c>
    </row>
    <row r="214" spans="1:16" ht="15.6">
      <c r="A214" s="120" t="s">
        <v>886</v>
      </c>
      <c r="B214" s="26">
        <f>SUM(C214:P214)</f>
        <v>1306</v>
      </c>
      <c r="C214" s="24">
        <f>'c-10'!C51</f>
        <v>94</v>
      </c>
      <c r="D214" s="121" t="s">
        <v>374</v>
      </c>
      <c r="E214" s="117" t="s">
        <v>374</v>
      </c>
      <c r="F214" s="117">
        <f>'c-14'!C29</f>
        <v>271</v>
      </c>
      <c r="G214" s="117">
        <f>'c-12'!C19</f>
        <v>192</v>
      </c>
      <c r="H214" s="65">
        <f>'c-17'!C51</f>
        <v>73</v>
      </c>
      <c r="I214" s="64" t="s">
        <v>374</v>
      </c>
      <c r="J214" s="117" t="s">
        <v>374</v>
      </c>
      <c r="K214" s="117" t="s">
        <v>374</v>
      </c>
      <c r="L214" s="117" t="s">
        <v>374</v>
      </c>
      <c r="M214" s="117">
        <f>'c-22'!C20</f>
        <v>135</v>
      </c>
      <c r="N214" s="118">
        <f>'c-16'!C42</f>
        <v>541</v>
      </c>
      <c r="O214" s="65" t="s">
        <v>374</v>
      </c>
      <c r="P214" s="65" t="s">
        <v>374</v>
      </c>
    </row>
    <row r="215" spans="1:16" ht="15.6">
      <c r="A215" s="120" t="s">
        <v>490</v>
      </c>
      <c r="B215" s="26">
        <f t="shared" si="9"/>
        <v>760</v>
      </c>
      <c r="C215" s="24">
        <f>'c-10'!C70</f>
        <v>162</v>
      </c>
      <c r="D215" s="121" t="s">
        <v>374</v>
      </c>
      <c r="E215" s="117" t="s">
        <v>374</v>
      </c>
      <c r="F215" s="117" t="s">
        <v>374</v>
      </c>
      <c r="G215" s="24">
        <f>'c-12'!C26</f>
        <v>74</v>
      </c>
      <c r="H215" s="134">
        <f>'c-17'!C65</f>
        <v>524</v>
      </c>
      <c r="I215" s="64" t="s">
        <v>374</v>
      </c>
      <c r="J215" s="117" t="s">
        <v>374</v>
      </c>
      <c r="K215" s="117" t="s">
        <v>374</v>
      </c>
      <c r="L215" s="117" t="s">
        <v>374</v>
      </c>
      <c r="M215" s="117" t="s">
        <v>374</v>
      </c>
      <c r="N215" s="118" t="s">
        <v>374</v>
      </c>
      <c r="O215" s="65" t="s">
        <v>374</v>
      </c>
      <c r="P215" s="65" t="s">
        <v>374</v>
      </c>
    </row>
    <row r="216" spans="1:16" ht="15.75" customHeight="1">
      <c r="A216" s="120" t="s">
        <v>887</v>
      </c>
      <c r="B216" s="26">
        <f>SUM(C216:P216)</f>
        <v>546</v>
      </c>
      <c r="C216" s="24">
        <f>'c-10'!C81</f>
        <v>65</v>
      </c>
      <c r="D216" s="121" t="s">
        <v>374</v>
      </c>
      <c r="E216" s="117" t="s">
        <v>374</v>
      </c>
      <c r="F216" s="117">
        <f>'c-14'!C41</f>
        <v>321</v>
      </c>
      <c r="G216" s="117" t="s">
        <v>374</v>
      </c>
      <c r="H216" s="134">
        <f>'c-17'!C81</f>
        <v>0</v>
      </c>
      <c r="I216" s="64" t="s">
        <v>374</v>
      </c>
      <c r="J216" s="117" t="s">
        <v>374</v>
      </c>
      <c r="K216" s="117" t="s">
        <v>374</v>
      </c>
      <c r="L216" s="117" t="s">
        <v>374</v>
      </c>
      <c r="M216" s="117">
        <f>'c-22'!C32</f>
        <v>160</v>
      </c>
      <c r="N216" s="118" t="s">
        <v>374</v>
      </c>
      <c r="O216" s="65" t="s">
        <v>374</v>
      </c>
      <c r="P216" s="65" t="s">
        <v>374</v>
      </c>
    </row>
    <row r="217" spans="1:16" ht="15.75" customHeight="1">
      <c r="A217" s="120" t="s">
        <v>159</v>
      </c>
      <c r="B217" s="26">
        <f t="shared" si="9"/>
        <v>491</v>
      </c>
      <c r="C217" s="24">
        <f>'c-10'!C90</f>
        <v>235</v>
      </c>
      <c r="D217" s="121" t="s">
        <v>374</v>
      </c>
      <c r="E217" s="117" t="s">
        <v>374</v>
      </c>
      <c r="F217" s="64" t="s">
        <v>374</v>
      </c>
      <c r="G217" s="117" t="s">
        <v>374</v>
      </c>
      <c r="H217" s="65">
        <f>'c-17'!C84</f>
        <v>256</v>
      </c>
      <c r="I217" s="64" t="s">
        <v>374</v>
      </c>
      <c r="J217" s="117" t="s">
        <v>374</v>
      </c>
      <c r="K217" s="117" t="s">
        <v>374</v>
      </c>
      <c r="L217" s="117" t="s">
        <v>374</v>
      </c>
      <c r="M217" s="117" t="s">
        <v>374</v>
      </c>
      <c r="N217" s="118" t="s">
        <v>374</v>
      </c>
      <c r="O217" s="65" t="s">
        <v>374</v>
      </c>
      <c r="P217" s="65" t="s">
        <v>374</v>
      </c>
    </row>
    <row r="218" spans="1:16" ht="15.75" customHeight="1">
      <c r="A218" s="120" t="s">
        <v>186</v>
      </c>
      <c r="B218" s="26">
        <f t="shared" si="9"/>
        <v>264</v>
      </c>
      <c r="C218" s="24">
        <f>'c-10'!C91</f>
        <v>95</v>
      </c>
      <c r="D218" s="121" t="s">
        <v>374</v>
      </c>
      <c r="E218" s="117" t="s">
        <v>374</v>
      </c>
      <c r="F218" s="64" t="s">
        <v>374</v>
      </c>
      <c r="G218" s="117" t="s">
        <v>374</v>
      </c>
      <c r="H218" s="65">
        <f>'c-17'!C85</f>
        <v>169</v>
      </c>
      <c r="I218" s="64" t="s">
        <v>374</v>
      </c>
      <c r="J218" s="117" t="s">
        <v>374</v>
      </c>
      <c r="K218" s="117" t="s">
        <v>374</v>
      </c>
      <c r="L218" s="117" t="s">
        <v>374</v>
      </c>
      <c r="M218" s="117" t="s">
        <v>374</v>
      </c>
      <c r="N218" s="117" t="s">
        <v>374</v>
      </c>
      <c r="O218" s="65" t="s">
        <v>374</v>
      </c>
      <c r="P218" s="65" t="s">
        <v>374</v>
      </c>
    </row>
    <row r="219" spans="1:16" ht="15.75" customHeight="1">
      <c r="A219" s="120" t="s">
        <v>187</v>
      </c>
      <c r="B219" s="26">
        <f t="shared" si="9"/>
        <v>321</v>
      </c>
      <c r="C219" s="24">
        <f>'c-10'!C100</f>
        <v>154</v>
      </c>
      <c r="D219" s="121" t="s">
        <v>374</v>
      </c>
      <c r="E219" s="117" t="s">
        <v>374</v>
      </c>
      <c r="F219" s="117" t="s">
        <v>374</v>
      </c>
      <c r="G219" s="117" t="s">
        <v>374</v>
      </c>
      <c r="H219" s="65">
        <f>'c-17'!C94</f>
        <v>167</v>
      </c>
      <c r="I219" s="64" t="s">
        <v>374</v>
      </c>
      <c r="J219" s="117" t="s">
        <v>374</v>
      </c>
      <c r="K219" s="117" t="s">
        <v>374</v>
      </c>
      <c r="L219" s="117" t="s">
        <v>374</v>
      </c>
      <c r="M219" s="117" t="s">
        <v>374</v>
      </c>
      <c r="N219" s="65" t="s">
        <v>374</v>
      </c>
      <c r="O219" s="65" t="s">
        <v>374</v>
      </c>
      <c r="P219" s="65" t="s">
        <v>374</v>
      </c>
    </row>
    <row r="220" spans="1:16" ht="15.75" customHeight="1">
      <c r="A220" s="120" t="s">
        <v>160</v>
      </c>
      <c r="B220" s="26">
        <f t="shared" si="9"/>
        <v>619</v>
      </c>
      <c r="C220" s="24">
        <f>'c-10'!C101</f>
        <v>339</v>
      </c>
      <c r="D220" s="121" t="s">
        <v>374</v>
      </c>
      <c r="E220" s="64" t="s">
        <v>374</v>
      </c>
      <c r="F220" s="64" t="s">
        <v>374</v>
      </c>
      <c r="G220" s="117" t="s">
        <v>374</v>
      </c>
      <c r="H220" s="65">
        <f>'c-17'!C95</f>
        <v>280</v>
      </c>
      <c r="I220" s="64" t="s">
        <v>374</v>
      </c>
      <c r="J220" s="117" t="s">
        <v>374</v>
      </c>
      <c r="K220" s="117" t="s">
        <v>374</v>
      </c>
      <c r="L220" s="117" t="s">
        <v>374</v>
      </c>
      <c r="M220" s="64" t="s">
        <v>374</v>
      </c>
      <c r="N220" s="118" t="s">
        <v>374</v>
      </c>
      <c r="O220" s="65" t="s">
        <v>374</v>
      </c>
      <c r="P220" s="65" t="s">
        <v>374</v>
      </c>
    </row>
    <row r="221" spans="1:16" ht="15.75" customHeight="1">
      <c r="A221" s="120" t="s">
        <v>491</v>
      </c>
      <c r="B221" s="26">
        <f t="shared" si="9"/>
        <v>957</v>
      </c>
      <c r="C221" s="24">
        <f>'c-10'!C110</f>
        <v>89</v>
      </c>
      <c r="D221" s="121" t="s">
        <v>374</v>
      </c>
      <c r="E221" s="117" t="s">
        <v>374</v>
      </c>
      <c r="F221" s="65">
        <f>'c-14'!C53</f>
        <v>260</v>
      </c>
      <c r="G221" s="64" t="s">
        <v>374</v>
      </c>
      <c r="H221" s="65">
        <f>'c-17'!C105</f>
        <v>114</v>
      </c>
      <c r="I221" s="64" t="s">
        <v>374</v>
      </c>
      <c r="J221" s="117" t="s">
        <v>374</v>
      </c>
      <c r="K221" s="117" t="s">
        <v>374</v>
      </c>
      <c r="L221" s="117" t="s">
        <v>374</v>
      </c>
      <c r="M221" s="64">
        <f>'c-22'!C44</f>
        <v>91</v>
      </c>
      <c r="N221" s="24">
        <f>'c-16'!C87</f>
        <v>403</v>
      </c>
      <c r="O221" s="65" t="s">
        <v>374</v>
      </c>
      <c r="P221" s="65" t="s">
        <v>374</v>
      </c>
    </row>
    <row r="222" spans="1:16" s="91" customFormat="1" ht="15.75" customHeight="1">
      <c r="A222" s="120" t="s">
        <v>492</v>
      </c>
      <c r="B222" s="26">
        <f t="shared" si="9"/>
        <v>1211</v>
      </c>
      <c r="C222" s="24">
        <f>'c-10'!C128</f>
        <v>112</v>
      </c>
      <c r="D222" s="121" t="s">
        <v>374</v>
      </c>
      <c r="E222" s="117" t="s">
        <v>374</v>
      </c>
      <c r="F222" s="65">
        <f>'c-14'!C61</f>
        <v>233</v>
      </c>
      <c r="G222" s="64" t="s">
        <v>374</v>
      </c>
      <c r="H222" s="65">
        <f>'c-17'!C123</f>
        <v>78</v>
      </c>
      <c r="I222" s="64" t="s">
        <v>374</v>
      </c>
      <c r="J222" s="117" t="s">
        <v>374</v>
      </c>
      <c r="K222" s="117" t="s">
        <v>374</v>
      </c>
      <c r="L222" s="117" t="s">
        <v>374</v>
      </c>
      <c r="M222" s="64">
        <f>'c-22'!C52</f>
        <v>84</v>
      </c>
      <c r="N222" s="24">
        <f>'c-16'!C101</f>
        <v>704</v>
      </c>
      <c r="O222" s="65" t="s">
        <v>374</v>
      </c>
      <c r="P222" s="65" t="s">
        <v>374</v>
      </c>
    </row>
    <row r="223" spans="1:16" ht="15.75" customHeight="1">
      <c r="A223" s="120" t="s">
        <v>493</v>
      </c>
      <c r="B223" s="26">
        <f t="shared" si="9"/>
        <v>811</v>
      </c>
      <c r="C223" s="24">
        <f>'c-10'!C129</f>
        <v>65</v>
      </c>
      <c r="D223" s="121" t="s">
        <v>374</v>
      </c>
      <c r="E223" s="117" t="s">
        <v>374</v>
      </c>
      <c r="F223" s="65">
        <f>'c-14'!C62</f>
        <v>200</v>
      </c>
      <c r="G223" s="64" t="s">
        <v>374</v>
      </c>
      <c r="H223" s="65">
        <f>'c-17'!C124</f>
        <v>45</v>
      </c>
      <c r="I223" s="64" t="s">
        <v>374</v>
      </c>
      <c r="J223" s="117" t="s">
        <v>374</v>
      </c>
      <c r="K223" s="117" t="s">
        <v>374</v>
      </c>
      <c r="L223" s="117" t="s">
        <v>374</v>
      </c>
      <c r="M223" s="64">
        <f>'c-22'!C51</f>
        <v>54</v>
      </c>
      <c r="N223" s="24">
        <f>'c-16'!C102</f>
        <v>447</v>
      </c>
      <c r="O223" s="65" t="s">
        <v>374</v>
      </c>
      <c r="P223" s="65" t="s">
        <v>374</v>
      </c>
    </row>
    <row r="224" spans="1:16" ht="15.75" customHeight="1">
      <c r="A224" s="120" t="s">
        <v>494</v>
      </c>
      <c r="B224" s="26">
        <f t="shared" si="9"/>
        <v>286</v>
      </c>
      <c r="C224" s="24">
        <f>'c-10'!C127</f>
        <v>105</v>
      </c>
      <c r="D224" s="121" t="s">
        <v>374</v>
      </c>
      <c r="E224" s="117" t="s">
        <v>374</v>
      </c>
      <c r="F224" s="117" t="s">
        <v>374</v>
      </c>
      <c r="G224" s="117" t="s">
        <v>374</v>
      </c>
      <c r="H224" s="65">
        <f>'c-17'!C122</f>
        <v>181</v>
      </c>
      <c r="I224" s="64" t="s">
        <v>374</v>
      </c>
      <c r="J224" s="117" t="s">
        <v>374</v>
      </c>
      <c r="K224" s="117" t="s">
        <v>374</v>
      </c>
      <c r="L224" s="117" t="s">
        <v>374</v>
      </c>
      <c r="M224" s="64" t="s">
        <v>374</v>
      </c>
      <c r="N224" s="118" t="s">
        <v>374</v>
      </c>
      <c r="O224" s="65" t="s">
        <v>374</v>
      </c>
      <c r="P224" s="65" t="s">
        <v>374</v>
      </c>
    </row>
    <row r="225" spans="1:16" ht="15.75" customHeight="1">
      <c r="A225" s="132" t="s">
        <v>528</v>
      </c>
      <c r="B225" s="26">
        <f>SUM(C225:P225)</f>
        <v>975</v>
      </c>
      <c r="C225" s="117">
        <f>'c-10'!C122</f>
        <v>53</v>
      </c>
      <c r="D225" s="121" t="s">
        <v>374</v>
      </c>
      <c r="E225" s="117" t="s">
        <v>374</v>
      </c>
      <c r="F225" s="117">
        <f>'c-14'!C57</f>
        <v>233</v>
      </c>
      <c r="G225" s="117">
        <f>'c-12'!C39</f>
        <v>107</v>
      </c>
      <c r="H225" s="117">
        <f>'c-17'!C117</f>
        <v>60</v>
      </c>
      <c r="I225" s="117" t="s">
        <v>374</v>
      </c>
      <c r="J225" s="117" t="s">
        <v>374</v>
      </c>
      <c r="K225" s="117" t="s">
        <v>374</v>
      </c>
      <c r="L225" s="117" t="s">
        <v>374</v>
      </c>
      <c r="M225" s="64">
        <f>'c-22'!C48</f>
        <v>51</v>
      </c>
      <c r="N225" s="117">
        <f>'c-16'!C97</f>
        <v>471</v>
      </c>
      <c r="O225" s="118" t="s">
        <v>374</v>
      </c>
      <c r="P225" s="66" t="s">
        <v>374</v>
      </c>
    </row>
    <row r="226" spans="1:16" ht="15.75" customHeight="1">
      <c r="A226" s="113"/>
      <c r="B226" s="26"/>
      <c r="C226" s="51"/>
      <c r="D226" s="51"/>
      <c r="E226" s="51"/>
      <c r="F226" s="26"/>
      <c r="G226" s="51"/>
      <c r="H226" s="51"/>
      <c r="I226" s="51"/>
      <c r="J226" s="51"/>
      <c r="K226" s="51"/>
      <c r="L226" s="117"/>
      <c r="M226" s="51"/>
      <c r="N226" s="21"/>
      <c r="O226" s="65"/>
      <c r="P226" s="65"/>
    </row>
    <row r="227" spans="1:16" ht="15.75" customHeight="1">
      <c r="A227" s="106" t="s">
        <v>495</v>
      </c>
      <c r="B227" s="97">
        <f>SUM(B229:B237)</f>
        <v>14180</v>
      </c>
      <c r="C227" s="97" t="s">
        <v>374</v>
      </c>
      <c r="D227" s="97" t="s">
        <v>374</v>
      </c>
      <c r="E227" s="97" t="s">
        <v>374</v>
      </c>
      <c r="F227" s="97">
        <f>SUM(F229:F237)</f>
        <v>5657</v>
      </c>
      <c r="G227" s="97" t="s">
        <v>374</v>
      </c>
      <c r="H227" s="97" t="s">
        <v>374</v>
      </c>
      <c r="I227" s="97" t="s">
        <v>374</v>
      </c>
      <c r="J227" s="97" t="s">
        <v>374</v>
      </c>
      <c r="K227" s="97" t="s">
        <v>374</v>
      </c>
      <c r="L227" s="97" t="s">
        <v>374</v>
      </c>
      <c r="M227" s="97">
        <f>SUM(M229:M237)</f>
        <v>1606</v>
      </c>
      <c r="N227" s="97">
        <f>SUM(N229:N237)</f>
        <v>6917</v>
      </c>
      <c r="O227" s="112" t="s">
        <v>374</v>
      </c>
      <c r="P227" s="112" t="s">
        <v>374</v>
      </c>
    </row>
    <row r="228" spans="1:16" ht="15.75" customHeight="1">
      <c r="A228" s="120"/>
      <c r="B228" s="64"/>
      <c r="C228" s="117"/>
      <c r="D228" s="117"/>
      <c r="E228" s="117"/>
      <c r="F228" s="64"/>
      <c r="G228" s="51"/>
      <c r="H228" s="51"/>
      <c r="I228" s="51"/>
      <c r="J228" s="51"/>
      <c r="K228" s="51"/>
      <c r="L228" s="117"/>
      <c r="M228" s="117"/>
      <c r="N228" s="118"/>
      <c r="O228" s="65"/>
      <c r="P228" s="65"/>
    </row>
    <row r="229" spans="1:16" ht="15.75" customHeight="1">
      <c r="A229" s="120" t="s">
        <v>496</v>
      </c>
      <c r="B229" s="26">
        <f t="shared" ref="B229:B237" si="10">SUM(C229:P229)</f>
        <v>1098</v>
      </c>
      <c r="C229" s="117" t="s">
        <v>374</v>
      </c>
      <c r="D229" s="117" t="s">
        <v>374</v>
      </c>
      <c r="E229" s="117" t="s">
        <v>374</v>
      </c>
      <c r="F229" s="24">
        <f>'c-14'!C56</f>
        <v>863</v>
      </c>
      <c r="G229" s="117" t="s">
        <v>374</v>
      </c>
      <c r="H229" s="117" t="s">
        <v>374</v>
      </c>
      <c r="I229" s="117" t="s">
        <v>374</v>
      </c>
      <c r="J229" s="117" t="s">
        <v>374</v>
      </c>
      <c r="K229" s="117" t="s">
        <v>374</v>
      </c>
      <c r="L229" s="117" t="s">
        <v>374</v>
      </c>
      <c r="M229" s="24">
        <f>'c-22'!C47</f>
        <v>235</v>
      </c>
      <c r="N229" s="66" t="s">
        <v>374</v>
      </c>
      <c r="O229" s="65" t="s">
        <v>374</v>
      </c>
      <c r="P229" s="65" t="s">
        <v>374</v>
      </c>
    </row>
    <row r="230" spans="1:16" ht="15.75" customHeight="1">
      <c r="A230" s="120" t="s">
        <v>177</v>
      </c>
      <c r="B230" s="26">
        <f t="shared" si="10"/>
        <v>1870</v>
      </c>
      <c r="C230" s="117" t="s">
        <v>374</v>
      </c>
      <c r="D230" s="117" t="s">
        <v>374</v>
      </c>
      <c r="E230" s="117" t="s">
        <v>374</v>
      </c>
      <c r="F230" s="65">
        <f>'c-14'!C32</f>
        <v>946</v>
      </c>
      <c r="G230" s="64" t="s">
        <v>374</v>
      </c>
      <c r="H230" s="117" t="s">
        <v>374</v>
      </c>
      <c r="I230" s="117" t="s">
        <v>374</v>
      </c>
      <c r="J230" s="117" t="s">
        <v>374</v>
      </c>
      <c r="K230" s="117" t="s">
        <v>374</v>
      </c>
      <c r="L230" s="117" t="s">
        <v>374</v>
      </c>
      <c r="M230" s="64">
        <f>'c-22'!C23</f>
        <v>180</v>
      </c>
      <c r="N230" s="24">
        <f>'c-16'!C46</f>
        <v>744</v>
      </c>
      <c r="O230" s="65" t="s">
        <v>374</v>
      </c>
      <c r="P230" s="65" t="s">
        <v>374</v>
      </c>
    </row>
    <row r="231" spans="1:16" ht="15.75" customHeight="1">
      <c r="A231" s="120" t="s">
        <v>497</v>
      </c>
      <c r="B231" s="26">
        <f t="shared" si="10"/>
        <v>1832</v>
      </c>
      <c r="C231" s="117" t="s">
        <v>374</v>
      </c>
      <c r="D231" s="117" t="s">
        <v>374</v>
      </c>
      <c r="E231" s="117" t="s">
        <v>374</v>
      </c>
      <c r="F231" s="65">
        <f>'c-14'!C33</f>
        <v>751</v>
      </c>
      <c r="G231" s="64" t="s">
        <v>374</v>
      </c>
      <c r="H231" s="117" t="s">
        <v>374</v>
      </c>
      <c r="I231" s="117" t="s">
        <v>374</v>
      </c>
      <c r="J231" s="117" t="s">
        <v>374</v>
      </c>
      <c r="K231" s="117" t="s">
        <v>374</v>
      </c>
      <c r="L231" s="117" t="s">
        <v>374</v>
      </c>
      <c r="M231" s="64">
        <f>'c-22'!C24</f>
        <v>136</v>
      </c>
      <c r="N231" s="24">
        <f>'c-16'!C45</f>
        <v>945</v>
      </c>
      <c r="O231" s="65" t="s">
        <v>374</v>
      </c>
      <c r="P231" s="65" t="s">
        <v>374</v>
      </c>
    </row>
    <row r="232" spans="1:16" ht="15.75" customHeight="1">
      <c r="A232" s="120" t="s">
        <v>181</v>
      </c>
      <c r="B232" s="26">
        <f t="shared" si="10"/>
        <v>1524</v>
      </c>
      <c r="C232" s="117" t="s">
        <v>374</v>
      </c>
      <c r="D232" s="117" t="s">
        <v>374</v>
      </c>
      <c r="E232" s="117" t="s">
        <v>374</v>
      </c>
      <c r="F232" s="65">
        <f>'c-14'!C37</f>
        <v>569</v>
      </c>
      <c r="G232" s="64" t="s">
        <v>374</v>
      </c>
      <c r="H232" s="117" t="s">
        <v>374</v>
      </c>
      <c r="I232" s="117" t="s">
        <v>374</v>
      </c>
      <c r="J232" s="117" t="s">
        <v>374</v>
      </c>
      <c r="K232" s="117" t="s">
        <v>374</v>
      </c>
      <c r="L232" s="117" t="s">
        <v>374</v>
      </c>
      <c r="M232" s="64">
        <f>'c-22'!C28</f>
        <v>171</v>
      </c>
      <c r="N232" s="24">
        <f>'c-16'!C54</f>
        <v>784</v>
      </c>
      <c r="O232" s="65" t="s">
        <v>374</v>
      </c>
      <c r="P232" s="65" t="s">
        <v>374</v>
      </c>
    </row>
    <row r="233" spans="1:16" ht="15.75" customHeight="1">
      <c r="A233" s="120" t="s">
        <v>185</v>
      </c>
      <c r="B233" s="26">
        <f t="shared" si="10"/>
        <v>2182</v>
      </c>
      <c r="C233" s="117" t="s">
        <v>374</v>
      </c>
      <c r="D233" s="117" t="s">
        <v>374</v>
      </c>
      <c r="E233" s="117" t="s">
        <v>374</v>
      </c>
      <c r="F233" s="65">
        <f>'c-14'!C44</f>
        <v>817</v>
      </c>
      <c r="G233" s="64" t="s">
        <v>374</v>
      </c>
      <c r="H233" s="117" t="s">
        <v>374</v>
      </c>
      <c r="I233" s="117" t="s">
        <v>374</v>
      </c>
      <c r="J233" s="117" t="s">
        <v>374</v>
      </c>
      <c r="K233" s="117" t="s">
        <v>374</v>
      </c>
      <c r="L233" s="117" t="s">
        <v>374</v>
      </c>
      <c r="M233" s="64">
        <f>'c-22'!C35</f>
        <v>267</v>
      </c>
      <c r="N233" s="24">
        <f>'c-16'!C70</f>
        <v>1098</v>
      </c>
      <c r="O233" s="65" t="s">
        <v>374</v>
      </c>
      <c r="P233" s="65" t="s">
        <v>374</v>
      </c>
    </row>
    <row r="234" spans="1:16" ht="15.75" customHeight="1">
      <c r="A234" s="120" t="s">
        <v>186</v>
      </c>
      <c r="B234" s="26">
        <f t="shared" si="10"/>
        <v>1002</v>
      </c>
      <c r="C234" s="117" t="s">
        <v>374</v>
      </c>
      <c r="D234" s="117" t="s">
        <v>374</v>
      </c>
      <c r="E234" s="117" t="s">
        <v>374</v>
      </c>
      <c r="F234" s="418">
        <f>'c-14'!C45</f>
        <v>318</v>
      </c>
      <c r="G234" s="117" t="s">
        <v>374</v>
      </c>
      <c r="H234" s="117" t="s">
        <v>374</v>
      </c>
      <c r="I234" s="64" t="s">
        <v>374</v>
      </c>
      <c r="J234" s="117" t="s">
        <v>374</v>
      </c>
      <c r="K234" s="117" t="s">
        <v>374</v>
      </c>
      <c r="L234" s="117" t="s">
        <v>374</v>
      </c>
      <c r="M234" s="64">
        <f>'c-22'!C36</f>
        <v>183</v>
      </c>
      <c r="N234" s="24">
        <f>'c-16'!C71</f>
        <v>501</v>
      </c>
      <c r="O234" s="65" t="s">
        <v>374</v>
      </c>
      <c r="P234" s="65" t="s">
        <v>374</v>
      </c>
    </row>
    <row r="235" spans="1:16" s="91" customFormat="1" ht="15.75" customHeight="1">
      <c r="A235" s="120" t="s">
        <v>499</v>
      </c>
      <c r="B235" s="26">
        <f t="shared" si="10"/>
        <v>1408</v>
      </c>
      <c r="C235" s="117" t="s">
        <v>374</v>
      </c>
      <c r="D235" s="117" t="s">
        <v>374</v>
      </c>
      <c r="E235" s="117" t="s">
        <v>374</v>
      </c>
      <c r="F235" s="65">
        <f>'c-14'!C48</f>
        <v>363</v>
      </c>
      <c r="G235" s="64" t="s">
        <v>374</v>
      </c>
      <c r="H235" s="117" t="s">
        <v>374</v>
      </c>
      <c r="I235" s="117" t="s">
        <v>374</v>
      </c>
      <c r="J235" s="117" t="s">
        <v>374</v>
      </c>
      <c r="K235" s="117" t="s">
        <v>374</v>
      </c>
      <c r="L235" s="117" t="s">
        <v>374</v>
      </c>
      <c r="M235" s="64">
        <f>'c-22'!C39</f>
        <v>124</v>
      </c>
      <c r="N235" s="24">
        <f>'c-16'!C78</f>
        <v>921</v>
      </c>
      <c r="O235" s="65" t="s">
        <v>374</v>
      </c>
      <c r="P235" s="65" t="s">
        <v>374</v>
      </c>
    </row>
    <row r="236" spans="1:16" s="91" customFormat="1" ht="15.75" customHeight="1">
      <c r="A236" s="120" t="s">
        <v>500</v>
      </c>
      <c r="B236" s="26">
        <f t="shared" si="10"/>
        <v>1780</v>
      </c>
      <c r="C236" s="117" t="s">
        <v>374</v>
      </c>
      <c r="D236" s="117" t="s">
        <v>374</v>
      </c>
      <c r="E236" s="117" t="s">
        <v>374</v>
      </c>
      <c r="F236" s="65">
        <f>'c-14'!C49</f>
        <v>424</v>
      </c>
      <c r="G236" s="64" t="s">
        <v>374</v>
      </c>
      <c r="H236" s="117" t="s">
        <v>374</v>
      </c>
      <c r="I236" s="117" t="s">
        <v>374</v>
      </c>
      <c r="J236" s="117" t="s">
        <v>374</v>
      </c>
      <c r="K236" s="117" t="s">
        <v>374</v>
      </c>
      <c r="L236" s="117" t="s">
        <v>374</v>
      </c>
      <c r="M236" s="64">
        <f>'c-22'!C40</f>
        <v>156</v>
      </c>
      <c r="N236" s="24">
        <f>'c-16'!C79</f>
        <v>1200</v>
      </c>
      <c r="O236" s="65" t="s">
        <v>374</v>
      </c>
      <c r="P236" s="65" t="s">
        <v>374</v>
      </c>
    </row>
    <row r="237" spans="1:16" ht="15.75" customHeight="1">
      <c r="A237" s="120" t="s">
        <v>501</v>
      </c>
      <c r="B237" s="26">
        <f t="shared" si="10"/>
        <v>1484</v>
      </c>
      <c r="C237" s="117" t="s">
        <v>374</v>
      </c>
      <c r="D237" s="117" t="s">
        <v>374</v>
      </c>
      <c r="E237" s="117" t="s">
        <v>374</v>
      </c>
      <c r="F237" s="65">
        <f>'c-14'!C60</f>
        <v>606</v>
      </c>
      <c r="G237" s="64" t="s">
        <v>374</v>
      </c>
      <c r="H237" s="117" t="s">
        <v>374</v>
      </c>
      <c r="I237" s="117" t="s">
        <v>374</v>
      </c>
      <c r="J237" s="117" t="s">
        <v>374</v>
      </c>
      <c r="K237" s="117" t="s">
        <v>374</v>
      </c>
      <c r="L237" s="117" t="s">
        <v>374</v>
      </c>
      <c r="M237" s="117">
        <f>'c-22'!C53</f>
        <v>154</v>
      </c>
      <c r="N237" s="118">
        <f>'c-16'!C100</f>
        <v>724</v>
      </c>
      <c r="O237" s="65" t="s">
        <v>374</v>
      </c>
      <c r="P237" s="65" t="s">
        <v>374</v>
      </c>
    </row>
    <row r="238" spans="1:16" ht="15.75" customHeight="1">
      <c r="A238" s="133"/>
      <c r="B238" s="107"/>
      <c r="C238" s="114"/>
      <c r="D238" s="114"/>
      <c r="E238" s="114"/>
      <c r="F238" s="107"/>
      <c r="G238" s="114"/>
      <c r="H238" s="114"/>
      <c r="I238" s="114"/>
      <c r="J238" s="114"/>
      <c r="K238" s="114"/>
      <c r="L238" s="117"/>
      <c r="M238" s="114"/>
      <c r="N238" s="24"/>
      <c r="O238" s="65"/>
      <c r="P238" s="65"/>
    </row>
    <row r="239" spans="1:16" ht="15.75" customHeight="1">
      <c r="A239" s="106" t="s">
        <v>502</v>
      </c>
      <c r="B239" s="62">
        <f>SUM(B241:B248)</f>
        <v>50145</v>
      </c>
      <c r="C239" s="62">
        <f>SUM(C241:C248)</f>
        <v>4124</v>
      </c>
      <c r="D239" s="62">
        <f>SUM(D241:D248)</f>
        <v>46021</v>
      </c>
      <c r="E239" s="97" t="s">
        <v>374</v>
      </c>
      <c r="F239" s="62" t="s">
        <v>374</v>
      </c>
      <c r="G239" s="97" t="s">
        <v>374</v>
      </c>
      <c r="H239" s="97" t="s">
        <v>374</v>
      </c>
      <c r="I239" s="97" t="s">
        <v>374</v>
      </c>
      <c r="J239" s="97" t="s">
        <v>374</v>
      </c>
      <c r="K239" s="97" t="s">
        <v>374</v>
      </c>
      <c r="L239" s="97" t="s">
        <v>374</v>
      </c>
      <c r="M239" s="97" t="s">
        <v>374</v>
      </c>
      <c r="N239" s="98" t="s">
        <v>374</v>
      </c>
      <c r="O239" s="112" t="s">
        <v>374</v>
      </c>
      <c r="P239" s="112" t="s">
        <v>374</v>
      </c>
    </row>
    <row r="240" spans="1:16" ht="15.75" customHeight="1">
      <c r="A240" s="120"/>
      <c r="B240" s="64"/>
      <c r="C240" s="64"/>
      <c r="D240" s="117"/>
      <c r="E240" s="51"/>
      <c r="F240" s="26"/>
      <c r="G240" s="51"/>
      <c r="H240" s="51"/>
      <c r="I240" s="51"/>
      <c r="J240" s="51"/>
      <c r="K240" s="51"/>
      <c r="L240" s="117"/>
      <c r="M240" s="51"/>
      <c r="N240" s="21"/>
      <c r="O240" s="65"/>
      <c r="P240" s="65"/>
    </row>
    <row r="241" spans="1:16" ht="15.75" customHeight="1">
      <c r="A241" s="120" t="s">
        <v>503</v>
      </c>
      <c r="B241" s="26">
        <f t="shared" ref="B241:B248" si="11">SUM(C241:P241)</f>
        <v>542</v>
      </c>
      <c r="C241" s="64">
        <f>'c-10'!C18</f>
        <v>542</v>
      </c>
      <c r="D241" s="141" t="s">
        <v>374</v>
      </c>
      <c r="E241" s="64" t="s">
        <v>374</v>
      </c>
      <c r="F241" s="117" t="s">
        <v>374</v>
      </c>
      <c r="G241" s="117" t="s">
        <v>374</v>
      </c>
      <c r="H241" s="117" t="s">
        <v>374</v>
      </c>
      <c r="I241" s="117" t="s">
        <v>374</v>
      </c>
      <c r="J241" s="117" t="s">
        <v>374</v>
      </c>
      <c r="K241" s="117" t="s">
        <v>374</v>
      </c>
      <c r="L241" s="117" t="s">
        <v>374</v>
      </c>
      <c r="M241" s="117" t="s">
        <v>374</v>
      </c>
      <c r="N241" s="118" t="s">
        <v>374</v>
      </c>
      <c r="O241" s="65" t="s">
        <v>374</v>
      </c>
      <c r="P241" s="65" t="s">
        <v>374</v>
      </c>
    </row>
    <row r="242" spans="1:16" ht="15.75" customHeight="1">
      <c r="A242" s="120" t="s">
        <v>504</v>
      </c>
      <c r="B242" s="26">
        <f t="shared" si="11"/>
        <v>552</v>
      </c>
      <c r="C242" s="64">
        <f>'c-10'!C19</f>
        <v>552</v>
      </c>
      <c r="D242" s="121" t="s">
        <v>374</v>
      </c>
      <c r="E242" s="117" t="s">
        <v>374</v>
      </c>
      <c r="F242" s="117" t="s">
        <v>374</v>
      </c>
      <c r="G242" s="117" t="s">
        <v>374</v>
      </c>
      <c r="H242" s="117" t="s">
        <v>374</v>
      </c>
      <c r="I242" s="117" t="s">
        <v>374</v>
      </c>
      <c r="J242" s="117" t="s">
        <v>374</v>
      </c>
      <c r="K242" s="117" t="s">
        <v>374</v>
      </c>
      <c r="L242" s="117" t="s">
        <v>374</v>
      </c>
      <c r="M242" s="117" t="s">
        <v>374</v>
      </c>
      <c r="N242" s="118" t="s">
        <v>374</v>
      </c>
      <c r="O242" s="65" t="s">
        <v>374</v>
      </c>
      <c r="P242" s="65" t="s">
        <v>374</v>
      </c>
    </row>
    <row r="243" spans="1:16" ht="15.75" customHeight="1">
      <c r="A243" s="120" t="s">
        <v>505</v>
      </c>
      <c r="B243" s="26">
        <f t="shared" si="11"/>
        <v>1064</v>
      </c>
      <c r="C243" s="24">
        <f>'c-10'!C29</f>
        <v>1064</v>
      </c>
      <c r="D243" s="121" t="s">
        <v>374</v>
      </c>
      <c r="E243" s="117" t="s">
        <v>374</v>
      </c>
      <c r="F243" s="117" t="s">
        <v>374</v>
      </c>
      <c r="G243" s="117" t="s">
        <v>374</v>
      </c>
      <c r="H243" s="117" t="s">
        <v>374</v>
      </c>
      <c r="I243" s="117" t="s">
        <v>374</v>
      </c>
      <c r="J243" s="117" t="s">
        <v>374</v>
      </c>
      <c r="K243" s="117" t="s">
        <v>374</v>
      </c>
      <c r="L243" s="117" t="s">
        <v>374</v>
      </c>
      <c r="M243" s="117" t="s">
        <v>374</v>
      </c>
      <c r="N243" s="118" t="s">
        <v>374</v>
      </c>
      <c r="O243" s="65" t="s">
        <v>374</v>
      </c>
      <c r="P243" s="65" t="s">
        <v>374</v>
      </c>
    </row>
    <row r="244" spans="1:16" ht="15.75" customHeight="1">
      <c r="A244" s="120" t="s">
        <v>506</v>
      </c>
      <c r="B244" s="26">
        <f t="shared" si="11"/>
        <v>21945</v>
      </c>
      <c r="C244" s="24">
        <f>'c-10'!C43</f>
        <v>518</v>
      </c>
      <c r="D244" s="121">
        <f>'c-11'!C21</f>
        <v>21427</v>
      </c>
      <c r="E244" s="117" t="s">
        <v>374</v>
      </c>
      <c r="F244" s="117" t="s">
        <v>374</v>
      </c>
      <c r="G244" s="117" t="s">
        <v>374</v>
      </c>
      <c r="H244" s="117" t="s">
        <v>374</v>
      </c>
      <c r="I244" s="117" t="s">
        <v>374</v>
      </c>
      <c r="J244" s="117" t="s">
        <v>374</v>
      </c>
      <c r="K244" s="117" t="s">
        <v>374</v>
      </c>
      <c r="L244" s="117" t="s">
        <v>374</v>
      </c>
      <c r="M244" s="117" t="s">
        <v>374</v>
      </c>
      <c r="N244" s="118" t="s">
        <v>374</v>
      </c>
      <c r="O244" s="65" t="s">
        <v>374</v>
      </c>
      <c r="P244" s="65" t="s">
        <v>374</v>
      </c>
    </row>
    <row r="245" spans="1:16" ht="15.75" customHeight="1">
      <c r="A245" s="120" t="s">
        <v>507</v>
      </c>
      <c r="B245" s="26">
        <f t="shared" si="11"/>
        <v>12228</v>
      </c>
      <c r="C245" s="24">
        <f>'c-10'!C71</f>
        <v>518</v>
      </c>
      <c r="D245" s="121">
        <f>'c-11'!C31</f>
        <v>11710</v>
      </c>
      <c r="E245" s="117" t="s">
        <v>374</v>
      </c>
      <c r="F245" s="117" t="s">
        <v>374</v>
      </c>
      <c r="G245" s="117" t="s">
        <v>374</v>
      </c>
      <c r="H245" s="117" t="s">
        <v>374</v>
      </c>
      <c r="I245" s="117" t="s">
        <v>374</v>
      </c>
      <c r="J245" s="117" t="s">
        <v>374</v>
      </c>
      <c r="K245" s="117" t="s">
        <v>374</v>
      </c>
      <c r="L245" s="117" t="s">
        <v>374</v>
      </c>
      <c r="M245" s="117" t="s">
        <v>374</v>
      </c>
      <c r="N245" s="118" t="s">
        <v>374</v>
      </c>
      <c r="O245" s="65" t="s">
        <v>374</v>
      </c>
      <c r="P245" s="65" t="s">
        <v>374</v>
      </c>
    </row>
    <row r="246" spans="1:16" ht="15.75" customHeight="1">
      <c r="A246" s="120" t="s">
        <v>508</v>
      </c>
      <c r="B246" s="26">
        <f t="shared" si="11"/>
        <v>8777</v>
      </c>
      <c r="C246" s="24">
        <f>'c-10'!C82</f>
        <v>589</v>
      </c>
      <c r="D246" s="121">
        <f>'c-11'!C34</f>
        <v>8188</v>
      </c>
      <c r="E246" s="117" t="s">
        <v>374</v>
      </c>
      <c r="F246" s="117" t="s">
        <v>374</v>
      </c>
      <c r="G246" s="117" t="s">
        <v>374</v>
      </c>
      <c r="H246" s="117" t="s">
        <v>374</v>
      </c>
      <c r="I246" s="117" t="s">
        <v>374</v>
      </c>
      <c r="J246" s="117" t="s">
        <v>374</v>
      </c>
      <c r="K246" s="117" t="s">
        <v>374</v>
      </c>
      <c r="L246" s="117" t="s">
        <v>374</v>
      </c>
      <c r="M246" s="117" t="s">
        <v>374</v>
      </c>
      <c r="N246" s="118" t="s">
        <v>374</v>
      </c>
      <c r="O246" s="65" t="s">
        <v>374</v>
      </c>
      <c r="P246" s="65" t="s">
        <v>374</v>
      </c>
    </row>
    <row r="247" spans="1:16" ht="15.75" customHeight="1">
      <c r="A247" s="120" t="s">
        <v>509</v>
      </c>
      <c r="B247" s="26">
        <f t="shared" si="11"/>
        <v>2347</v>
      </c>
      <c r="C247" s="24">
        <f>'c-10'!C111</f>
        <v>184</v>
      </c>
      <c r="D247" s="121">
        <f>'c-11'!C43</f>
        <v>2163</v>
      </c>
      <c r="E247" s="117" t="s">
        <v>374</v>
      </c>
      <c r="F247" s="117" t="s">
        <v>374</v>
      </c>
      <c r="G247" s="117" t="s">
        <v>374</v>
      </c>
      <c r="H247" s="117" t="s">
        <v>374</v>
      </c>
      <c r="I247" s="117" t="s">
        <v>374</v>
      </c>
      <c r="J247" s="117" t="s">
        <v>374</v>
      </c>
      <c r="K247" s="117" t="s">
        <v>374</v>
      </c>
      <c r="L247" s="117" t="s">
        <v>374</v>
      </c>
      <c r="M247" s="117" t="s">
        <v>374</v>
      </c>
      <c r="N247" s="118" t="s">
        <v>374</v>
      </c>
      <c r="O247" s="65" t="s">
        <v>374</v>
      </c>
      <c r="P247" s="65" t="s">
        <v>374</v>
      </c>
    </row>
    <row r="248" spans="1:16" ht="15.75" customHeight="1">
      <c r="A248" s="120" t="s">
        <v>510</v>
      </c>
      <c r="B248" s="26">
        <f t="shared" si="11"/>
        <v>2690</v>
      </c>
      <c r="C248" s="24">
        <f>'c-10'!C138</f>
        <v>157</v>
      </c>
      <c r="D248" s="121">
        <f>'c-11'!C52</f>
        <v>2533</v>
      </c>
      <c r="E248" s="117" t="s">
        <v>374</v>
      </c>
      <c r="F248" s="117" t="s">
        <v>374</v>
      </c>
      <c r="G248" s="117" t="s">
        <v>374</v>
      </c>
      <c r="H248" s="117" t="s">
        <v>374</v>
      </c>
      <c r="I248" s="117" t="s">
        <v>374</v>
      </c>
      <c r="J248" s="117" t="s">
        <v>374</v>
      </c>
      <c r="K248" s="117" t="s">
        <v>374</v>
      </c>
      <c r="L248" s="117" t="s">
        <v>374</v>
      </c>
      <c r="M248" s="117" t="s">
        <v>374</v>
      </c>
      <c r="N248" s="118" t="s">
        <v>374</v>
      </c>
      <c r="O248" s="65" t="s">
        <v>374</v>
      </c>
      <c r="P248" s="65" t="s">
        <v>374</v>
      </c>
    </row>
    <row r="249" spans="1:16" ht="15.75" customHeight="1">
      <c r="A249" s="143"/>
      <c r="B249" s="71"/>
      <c r="C249" s="136"/>
      <c r="D249" s="136"/>
      <c r="E249" s="105"/>
      <c r="F249" s="105"/>
      <c r="G249" s="105"/>
      <c r="H249" s="105"/>
      <c r="I249" s="105"/>
      <c r="J249" s="105"/>
      <c r="K249" s="105"/>
      <c r="L249" s="105"/>
      <c r="M249" s="105"/>
      <c r="N249" s="105"/>
      <c r="O249" s="71"/>
      <c r="P249" s="71"/>
    </row>
    <row r="250" spans="1:16" ht="15.75" customHeight="1">
      <c r="A250" s="138"/>
      <c r="B250" s="94"/>
      <c r="C250" s="139"/>
      <c r="D250" s="139"/>
      <c r="E250" s="125"/>
      <c r="F250" s="125"/>
      <c r="G250" s="125"/>
      <c r="H250" s="125"/>
      <c r="I250" s="125"/>
      <c r="J250" s="125"/>
      <c r="K250" s="125"/>
      <c r="L250" s="125"/>
      <c r="M250" s="125"/>
      <c r="N250" s="125"/>
      <c r="O250" s="94"/>
      <c r="P250" s="94"/>
    </row>
    <row r="251" spans="1:16" ht="15.75" customHeight="1">
      <c r="A251" s="138"/>
      <c r="B251" s="125"/>
      <c r="C251" s="139"/>
      <c r="D251" s="139"/>
      <c r="E251" s="125"/>
      <c r="F251" s="125"/>
      <c r="G251" s="125"/>
      <c r="H251" s="125"/>
      <c r="I251" s="125"/>
      <c r="J251" s="125"/>
      <c r="K251" s="125"/>
      <c r="L251" s="125"/>
      <c r="M251" s="125"/>
      <c r="N251" s="125"/>
      <c r="O251" s="94"/>
      <c r="P251" s="94"/>
    </row>
    <row r="252" spans="1:16" ht="15.75" customHeight="1">
      <c r="A252" s="93" t="s">
        <v>1039</v>
      </c>
      <c r="B252" s="146"/>
      <c r="C252" s="126"/>
      <c r="D252" s="126"/>
      <c r="E252" s="126"/>
      <c r="F252" s="126"/>
      <c r="G252" s="126"/>
      <c r="H252" s="126"/>
      <c r="I252" s="126"/>
      <c r="J252" s="126"/>
      <c r="K252" s="126"/>
      <c r="L252" s="126"/>
      <c r="M252" s="126"/>
      <c r="N252" s="126"/>
      <c r="O252" s="127"/>
      <c r="P252" s="127"/>
    </row>
    <row r="253" spans="1:16" ht="15.75" customHeight="1">
      <c r="A253" s="128"/>
      <c r="B253" s="96"/>
      <c r="C253" s="454" t="s">
        <v>222</v>
      </c>
      <c r="D253" s="454"/>
      <c r="E253" s="454"/>
      <c r="F253" s="454"/>
      <c r="G253" s="454"/>
      <c r="H253" s="454"/>
      <c r="I253" s="454"/>
      <c r="J253" s="454"/>
      <c r="K253" s="454"/>
      <c r="L253" s="454"/>
      <c r="M253" s="454"/>
      <c r="N253" s="454"/>
      <c r="O253" s="454"/>
      <c r="P253" s="454"/>
    </row>
    <row r="254" spans="1:16" ht="15.75" customHeight="1">
      <c r="A254" s="58" t="s">
        <v>359</v>
      </c>
      <c r="B254" s="97" t="s">
        <v>221</v>
      </c>
      <c r="C254" s="97" t="s">
        <v>333</v>
      </c>
      <c r="D254" s="97" t="s">
        <v>360</v>
      </c>
      <c r="E254" s="97" t="s">
        <v>361</v>
      </c>
      <c r="F254" s="97" t="s">
        <v>228</v>
      </c>
      <c r="G254" s="97" t="s">
        <v>362</v>
      </c>
      <c r="H254" s="97" t="s">
        <v>231</v>
      </c>
      <c r="I254" s="97" t="s">
        <v>232</v>
      </c>
      <c r="J254" s="97" t="s">
        <v>363</v>
      </c>
      <c r="K254" s="97" t="s">
        <v>235</v>
      </c>
      <c r="L254" s="97" t="s">
        <v>364</v>
      </c>
      <c r="M254" s="97" t="s">
        <v>365</v>
      </c>
      <c r="N254" s="98" t="s">
        <v>366</v>
      </c>
      <c r="O254" s="63" t="s">
        <v>367</v>
      </c>
      <c r="P254" s="63" t="s">
        <v>368</v>
      </c>
    </row>
    <row r="255" spans="1:16" ht="15.75" customHeight="1">
      <c r="A255" s="129"/>
      <c r="B255" s="101"/>
      <c r="C255" s="101"/>
      <c r="D255" s="101"/>
      <c r="E255" s="102" t="s">
        <v>369</v>
      </c>
      <c r="F255" s="102"/>
      <c r="G255" s="102"/>
      <c r="H255" s="101"/>
      <c r="I255" s="102"/>
      <c r="J255" s="102" t="s">
        <v>370</v>
      </c>
      <c r="K255" s="101"/>
      <c r="L255" s="102" t="s">
        <v>371</v>
      </c>
      <c r="M255" s="102" t="s">
        <v>372</v>
      </c>
      <c r="N255" s="103" t="s">
        <v>373</v>
      </c>
      <c r="O255" s="104" t="s">
        <v>370</v>
      </c>
      <c r="P255" s="105"/>
    </row>
    <row r="256" spans="1:16" s="91" customFormat="1" ht="15.75" customHeight="1">
      <c r="A256" s="120"/>
      <c r="B256" s="64"/>
      <c r="C256" s="24"/>
      <c r="D256" s="121"/>
      <c r="E256" s="117"/>
      <c r="F256" s="117"/>
      <c r="G256" s="117"/>
      <c r="H256" s="117"/>
      <c r="I256" s="117"/>
      <c r="J256" s="117"/>
      <c r="K256" s="117"/>
      <c r="L256" s="117"/>
      <c r="M256" s="117"/>
      <c r="N256" s="118"/>
      <c r="O256" s="65"/>
      <c r="P256" s="65"/>
    </row>
    <row r="257" spans="1:16" ht="14.25" customHeight="1">
      <c r="A257" s="106" t="s">
        <v>511</v>
      </c>
      <c r="B257" s="62">
        <f>SUM(B259:B265)</f>
        <v>10144</v>
      </c>
      <c r="C257" s="97" t="s">
        <v>374</v>
      </c>
      <c r="D257" s="97" t="s">
        <v>374</v>
      </c>
      <c r="E257" s="97" t="s">
        <v>374</v>
      </c>
      <c r="F257" s="97" t="s">
        <v>374</v>
      </c>
      <c r="G257" s="97" t="s">
        <v>374</v>
      </c>
      <c r="H257" s="62">
        <f>SUM(H259:H265)</f>
        <v>10144</v>
      </c>
      <c r="I257" s="62" t="s">
        <v>374</v>
      </c>
      <c r="J257" s="97" t="s">
        <v>374</v>
      </c>
      <c r="K257" s="97" t="s">
        <v>374</v>
      </c>
      <c r="L257" s="97" t="s">
        <v>374</v>
      </c>
      <c r="M257" s="97" t="s">
        <v>374</v>
      </c>
      <c r="N257" s="98" t="s">
        <v>374</v>
      </c>
      <c r="O257" s="112" t="s">
        <v>374</v>
      </c>
      <c r="P257" s="112" t="s">
        <v>374</v>
      </c>
    </row>
    <row r="258" spans="1:16" ht="15.75" customHeight="1">
      <c r="A258" s="120"/>
      <c r="B258" s="64"/>
      <c r="C258" s="51"/>
      <c r="D258" s="51"/>
      <c r="E258" s="51"/>
      <c r="F258" s="51"/>
      <c r="G258" s="51"/>
      <c r="H258" s="118"/>
      <c r="I258" s="26"/>
      <c r="J258" s="51"/>
      <c r="K258" s="51"/>
      <c r="L258" s="117"/>
      <c r="M258" s="51"/>
      <c r="N258" s="21"/>
      <c r="O258" s="65"/>
      <c r="P258" s="65"/>
    </row>
    <row r="259" spans="1:16" ht="15.75" customHeight="1">
      <c r="A259" s="120" t="s">
        <v>512</v>
      </c>
      <c r="B259" s="26">
        <f t="shared" ref="B259:B265" si="12">SUM(C259:P259)</f>
        <v>4484</v>
      </c>
      <c r="C259" s="117" t="s">
        <v>374</v>
      </c>
      <c r="D259" s="117" t="s">
        <v>374</v>
      </c>
      <c r="E259" s="117" t="s">
        <v>374</v>
      </c>
      <c r="F259" s="117" t="s">
        <v>374</v>
      </c>
      <c r="G259" s="117" t="s">
        <v>374</v>
      </c>
      <c r="H259" s="65">
        <f>'c-17'!C24</f>
        <v>4484</v>
      </c>
      <c r="I259" s="64" t="s">
        <v>374</v>
      </c>
      <c r="J259" s="117" t="s">
        <v>374</v>
      </c>
      <c r="K259" s="117" t="s">
        <v>374</v>
      </c>
      <c r="L259" s="117" t="s">
        <v>374</v>
      </c>
      <c r="M259" s="117" t="s">
        <v>374</v>
      </c>
      <c r="N259" s="118" t="s">
        <v>374</v>
      </c>
      <c r="O259" s="65" t="s">
        <v>374</v>
      </c>
      <c r="P259" s="65" t="s">
        <v>374</v>
      </c>
    </row>
    <row r="260" spans="1:16" ht="15.75" customHeight="1">
      <c r="A260" s="120" t="s">
        <v>513</v>
      </c>
      <c r="B260" s="26">
        <f t="shared" si="12"/>
        <v>1584</v>
      </c>
      <c r="C260" s="117" t="s">
        <v>374</v>
      </c>
      <c r="D260" s="117" t="s">
        <v>374</v>
      </c>
      <c r="E260" s="117" t="s">
        <v>374</v>
      </c>
      <c r="F260" s="117" t="s">
        <v>374</v>
      </c>
      <c r="G260" s="117" t="s">
        <v>374</v>
      </c>
      <c r="H260" s="134">
        <f>'c-17'!C38</f>
        <v>1584</v>
      </c>
      <c r="I260" s="64" t="s">
        <v>374</v>
      </c>
      <c r="J260" s="117" t="s">
        <v>374</v>
      </c>
      <c r="K260" s="117" t="s">
        <v>374</v>
      </c>
      <c r="L260" s="117" t="s">
        <v>374</v>
      </c>
      <c r="M260" s="117" t="s">
        <v>374</v>
      </c>
      <c r="N260" s="118" t="s">
        <v>374</v>
      </c>
      <c r="O260" s="65" t="s">
        <v>374</v>
      </c>
      <c r="P260" s="65" t="s">
        <v>374</v>
      </c>
    </row>
    <row r="261" spans="1:16" ht="15.75" customHeight="1">
      <c r="A261" s="120" t="s">
        <v>514</v>
      </c>
      <c r="B261" s="26">
        <f t="shared" si="12"/>
        <v>1187</v>
      </c>
      <c r="C261" s="117" t="s">
        <v>374</v>
      </c>
      <c r="D261" s="117" t="s">
        <v>374</v>
      </c>
      <c r="E261" s="117" t="s">
        <v>374</v>
      </c>
      <c r="F261" s="117" t="s">
        <v>374</v>
      </c>
      <c r="G261" s="117" t="s">
        <v>374</v>
      </c>
      <c r="H261" s="134">
        <f>'c-17'!C66</f>
        <v>1187</v>
      </c>
      <c r="I261" s="64" t="s">
        <v>374</v>
      </c>
      <c r="J261" s="117" t="s">
        <v>374</v>
      </c>
      <c r="K261" s="117" t="s">
        <v>374</v>
      </c>
      <c r="L261" s="117" t="s">
        <v>374</v>
      </c>
      <c r="M261" s="117" t="s">
        <v>374</v>
      </c>
      <c r="N261" s="118" t="s">
        <v>374</v>
      </c>
      <c r="O261" s="65" t="s">
        <v>374</v>
      </c>
      <c r="P261" s="65" t="s">
        <v>374</v>
      </c>
    </row>
    <row r="262" spans="1:16" ht="15.75" customHeight="1">
      <c r="A262" s="120" t="s">
        <v>515</v>
      </c>
      <c r="B262" s="26">
        <f t="shared" si="12"/>
        <v>1554</v>
      </c>
      <c r="C262" s="117" t="s">
        <v>374</v>
      </c>
      <c r="D262" s="117" t="s">
        <v>374</v>
      </c>
      <c r="E262" s="117" t="s">
        <v>374</v>
      </c>
      <c r="F262" s="117" t="s">
        <v>374</v>
      </c>
      <c r="G262" s="117" t="s">
        <v>374</v>
      </c>
      <c r="H262" s="65">
        <f>'c-17'!C76</f>
        <v>1554</v>
      </c>
      <c r="I262" s="64" t="s">
        <v>374</v>
      </c>
      <c r="J262" s="117" t="s">
        <v>374</v>
      </c>
      <c r="K262" s="117" t="s">
        <v>374</v>
      </c>
      <c r="L262" s="117" t="s">
        <v>374</v>
      </c>
      <c r="M262" s="117" t="s">
        <v>374</v>
      </c>
      <c r="N262" s="118" t="s">
        <v>374</v>
      </c>
      <c r="O262" s="65" t="s">
        <v>374</v>
      </c>
      <c r="P262" s="65" t="s">
        <v>374</v>
      </c>
    </row>
    <row r="263" spans="1:16" ht="15.75" customHeight="1">
      <c r="A263" s="120" t="s">
        <v>313</v>
      </c>
      <c r="B263" s="26">
        <f t="shared" si="12"/>
        <v>273</v>
      </c>
      <c r="C263" s="117" t="s">
        <v>374</v>
      </c>
      <c r="D263" s="117" t="s">
        <v>374</v>
      </c>
      <c r="E263" s="117" t="s">
        <v>374</v>
      </c>
      <c r="F263" s="117" t="s">
        <v>374</v>
      </c>
      <c r="G263" s="117" t="s">
        <v>374</v>
      </c>
      <c r="H263" s="65">
        <f>'c-17'!C96</f>
        <v>273</v>
      </c>
      <c r="I263" s="64" t="s">
        <v>374</v>
      </c>
      <c r="J263" s="117" t="s">
        <v>374</v>
      </c>
      <c r="K263" s="117" t="s">
        <v>374</v>
      </c>
      <c r="L263" s="117" t="s">
        <v>374</v>
      </c>
      <c r="M263" s="117" t="s">
        <v>374</v>
      </c>
      <c r="N263" s="117" t="s">
        <v>374</v>
      </c>
      <c r="O263" s="118" t="s">
        <v>374</v>
      </c>
      <c r="P263" s="66" t="s">
        <v>374</v>
      </c>
    </row>
    <row r="264" spans="1:16" ht="15.6">
      <c r="A264" s="120" t="s">
        <v>314</v>
      </c>
      <c r="B264" s="26">
        <f t="shared" si="12"/>
        <v>583</v>
      </c>
      <c r="C264" s="117" t="s">
        <v>374</v>
      </c>
      <c r="D264" s="117" t="s">
        <v>374</v>
      </c>
      <c r="E264" s="117" t="s">
        <v>374</v>
      </c>
      <c r="F264" s="117" t="s">
        <v>374</v>
      </c>
      <c r="G264" s="117" t="s">
        <v>374</v>
      </c>
      <c r="H264" s="65">
        <f>'c-17'!C106</f>
        <v>583</v>
      </c>
      <c r="I264" s="64" t="s">
        <v>374</v>
      </c>
      <c r="J264" s="117" t="s">
        <v>374</v>
      </c>
      <c r="K264" s="117" t="s">
        <v>374</v>
      </c>
      <c r="L264" s="117" t="s">
        <v>374</v>
      </c>
      <c r="M264" s="117" t="s">
        <v>374</v>
      </c>
      <c r="N264" s="118" t="s">
        <v>374</v>
      </c>
      <c r="O264" s="65" t="s">
        <v>374</v>
      </c>
      <c r="P264" s="65" t="s">
        <v>374</v>
      </c>
    </row>
    <row r="265" spans="1:16" ht="15.75" customHeight="1">
      <c r="A265" s="120" t="s">
        <v>315</v>
      </c>
      <c r="B265" s="26">
        <f t="shared" si="12"/>
        <v>479</v>
      </c>
      <c r="C265" s="117" t="s">
        <v>374</v>
      </c>
      <c r="D265" s="117" t="s">
        <v>374</v>
      </c>
      <c r="E265" s="117" t="s">
        <v>374</v>
      </c>
      <c r="F265" s="117" t="s">
        <v>374</v>
      </c>
      <c r="G265" s="117" t="s">
        <v>374</v>
      </c>
      <c r="H265" s="134">
        <f>'c-17'!C133</f>
        <v>479</v>
      </c>
      <c r="I265" s="64" t="s">
        <v>374</v>
      </c>
      <c r="J265" s="117" t="s">
        <v>374</v>
      </c>
      <c r="K265" s="117" t="s">
        <v>374</v>
      </c>
      <c r="L265" s="117" t="s">
        <v>374</v>
      </c>
      <c r="M265" s="117" t="s">
        <v>374</v>
      </c>
      <c r="N265" s="118" t="s">
        <v>374</v>
      </c>
      <c r="O265" s="65" t="s">
        <v>374</v>
      </c>
      <c r="P265" s="65" t="s">
        <v>374</v>
      </c>
    </row>
    <row r="266" spans="1:16" s="91" customFormat="1" ht="15.6">
      <c r="A266" s="113"/>
      <c r="B266" s="26"/>
      <c r="C266" s="51"/>
      <c r="D266" s="51"/>
      <c r="E266" s="51"/>
      <c r="F266" s="51"/>
      <c r="G266" s="51"/>
      <c r="H266" s="21"/>
      <c r="I266" s="26"/>
      <c r="J266" s="51"/>
      <c r="K266" s="51"/>
      <c r="L266" s="117"/>
      <c r="M266" s="51"/>
      <c r="N266" s="21"/>
      <c r="O266" s="65"/>
      <c r="P266" s="65"/>
    </row>
    <row r="267" spans="1:16" ht="15.75" customHeight="1">
      <c r="A267" s="106" t="s">
        <v>316</v>
      </c>
      <c r="B267" s="62">
        <f>SUM(B269:B284)</f>
        <v>26467</v>
      </c>
      <c r="C267" s="97" t="s">
        <v>374</v>
      </c>
      <c r="D267" s="97" t="s">
        <v>374</v>
      </c>
      <c r="E267" s="97" t="s">
        <v>374</v>
      </c>
      <c r="F267" s="97" t="s">
        <v>374</v>
      </c>
      <c r="G267" s="97" t="s">
        <v>374</v>
      </c>
      <c r="H267" s="97" t="s">
        <v>374</v>
      </c>
      <c r="I267" s="97" t="s">
        <v>374</v>
      </c>
      <c r="J267" s="62">
        <f>SUM(J269:J284)</f>
        <v>19773</v>
      </c>
      <c r="K267" s="62">
        <f>SUM(K269:K284)</f>
        <v>2029</v>
      </c>
      <c r="L267" s="62">
        <f>SUM(L269:L284)</f>
        <v>4665</v>
      </c>
      <c r="M267" s="97" t="s">
        <v>374</v>
      </c>
      <c r="N267" s="98" t="s">
        <v>374</v>
      </c>
      <c r="O267" s="112" t="s">
        <v>374</v>
      </c>
      <c r="P267" s="112" t="s">
        <v>374</v>
      </c>
    </row>
    <row r="268" spans="1:16" ht="15.75" customHeight="1">
      <c r="A268" s="120"/>
      <c r="B268" s="64"/>
      <c r="C268" s="51"/>
      <c r="D268" s="51"/>
      <c r="E268" s="51"/>
      <c r="F268" s="51"/>
      <c r="G268" s="51"/>
      <c r="H268" s="51"/>
      <c r="I268" s="51"/>
      <c r="J268" s="64"/>
      <c r="K268" s="117"/>
      <c r="L268" s="117"/>
      <c r="M268" s="51"/>
      <c r="N268" s="21"/>
      <c r="O268" s="65"/>
      <c r="P268" s="65"/>
    </row>
    <row r="269" spans="1:16" ht="15.75" customHeight="1">
      <c r="A269" s="120" t="s">
        <v>376</v>
      </c>
      <c r="B269" s="26">
        <f t="shared" ref="B269:B284" si="13">SUM(C269:P269)</f>
        <v>3918</v>
      </c>
      <c r="C269" s="117" t="s">
        <v>374</v>
      </c>
      <c r="D269" s="117" t="s">
        <v>374</v>
      </c>
      <c r="E269" s="117" t="s">
        <v>374</v>
      </c>
      <c r="F269" s="117" t="s">
        <v>374</v>
      </c>
      <c r="G269" s="117" t="s">
        <v>374</v>
      </c>
      <c r="H269" s="117" t="s">
        <v>374</v>
      </c>
      <c r="I269" s="117" t="s">
        <v>374</v>
      </c>
      <c r="J269" s="26">
        <f>'c-23'!C12</f>
        <v>3918</v>
      </c>
      <c r="K269" s="117" t="s">
        <v>374</v>
      </c>
      <c r="L269" s="117" t="s">
        <v>374</v>
      </c>
      <c r="M269" s="117" t="s">
        <v>374</v>
      </c>
      <c r="N269" s="118" t="s">
        <v>374</v>
      </c>
      <c r="O269" s="65" t="s">
        <v>374</v>
      </c>
      <c r="P269" s="65" t="s">
        <v>374</v>
      </c>
    </row>
    <row r="270" spans="1:16" ht="15.75" customHeight="1">
      <c r="A270" s="120" t="s">
        <v>892</v>
      </c>
      <c r="B270" s="26">
        <f t="shared" si="13"/>
        <v>1313</v>
      </c>
      <c r="C270" s="117" t="s">
        <v>374</v>
      </c>
      <c r="D270" s="117" t="s">
        <v>374</v>
      </c>
      <c r="E270" s="117" t="s">
        <v>374</v>
      </c>
      <c r="F270" s="117" t="s">
        <v>374</v>
      </c>
      <c r="G270" s="117" t="s">
        <v>374</v>
      </c>
      <c r="H270" s="117" t="s">
        <v>374</v>
      </c>
      <c r="I270" s="117" t="s">
        <v>374</v>
      </c>
      <c r="J270" s="26">
        <f>'c-23'!C24</f>
        <v>1313</v>
      </c>
      <c r="K270" s="117" t="s">
        <v>374</v>
      </c>
      <c r="L270" s="117" t="s">
        <v>374</v>
      </c>
      <c r="M270" s="117" t="s">
        <v>374</v>
      </c>
      <c r="N270" s="118" t="s">
        <v>374</v>
      </c>
      <c r="O270" s="65" t="s">
        <v>374</v>
      </c>
      <c r="P270" s="65" t="s">
        <v>374</v>
      </c>
    </row>
    <row r="271" spans="1:16" ht="15.75" customHeight="1">
      <c r="A271" s="120" t="s">
        <v>317</v>
      </c>
      <c r="B271" s="26">
        <f t="shared" si="13"/>
        <v>2083</v>
      </c>
      <c r="C271" s="117" t="s">
        <v>374</v>
      </c>
      <c r="D271" s="117" t="s">
        <v>374</v>
      </c>
      <c r="E271" s="117" t="s">
        <v>374</v>
      </c>
      <c r="F271" s="117" t="s">
        <v>374</v>
      </c>
      <c r="G271" s="117" t="s">
        <v>374</v>
      </c>
      <c r="H271" s="117" t="s">
        <v>374</v>
      </c>
      <c r="I271" s="117" t="s">
        <v>374</v>
      </c>
      <c r="J271" s="26">
        <f>'c-23'!C21</f>
        <v>2083</v>
      </c>
      <c r="K271" s="117" t="s">
        <v>374</v>
      </c>
      <c r="L271" s="117" t="s">
        <v>374</v>
      </c>
      <c r="M271" s="117" t="s">
        <v>374</v>
      </c>
      <c r="N271" s="118" t="s">
        <v>374</v>
      </c>
      <c r="O271" s="65" t="s">
        <v>374</v>
      </c>
      <c r="P271" s="65" t="s">
        <v>374</v>
      </c>
    </row>
    <row r="272" spans="1:16" ht="15.75" customHeight="1">
      <c r="A272" s="120" t="s">
        <v>318</v>
      </c>
      <c r="B272" s="26">
        <f t="shared" si="13"/>
        <v>1931</v>
      </c>
      <c r="C272" s="117" t="s">
        <v>374</v>
      </c>
      <c r="D272" s="117" t="s">
        <v>374</v>
      </c>
      <c r="E272" s="117" t="s">
        <v>374</v>
      </c>
      <c r="F272" s="117" t="s">
        <v>374</v>
      </c>
      <c r="G272" s="117" t="s">
        <v>374</v>
      </c>
      <c r="H272" s="117" t="s">
        <v>374</v>
      </c>
      <c r="I272" s="117" t="s">
        <v>374</v>
      </c>
      <c r="J272" s="26">
        <f>'c-23'!C97</f>
        <v>890</v>
      </c>
      <c r="K272" s="117" t="s">
        <v>374</v>
      </c>
      <c r="L272" s="24">
        <f>'c-15'!C98</f>
        <v>1041</v>
      </c>
      <c r="M272" s="117" t="s">
        <v>374</v>
      </c>
      <c r="N272" s="118" t="s">
        <v>374</v>
      </c>
      <c r="O272" s="65" t="s">
        <v>374</v>
      </c>
      <c r="P272" s="65" t="s">
        <v>374</v>
      </c>
    </row>
    <row r="273" spans="1:16" ht="15.75" customHeight="1">
      <c r="A273" s="120" t="s">
        <v>319</v>
      </c>
      <c r="B273" s="26">
        <f t="shared" si="13"/>
        <v>1855</v>
      </c>
      <c r="C273" s="117" t="s">
        <v>374</v>
      </c>
      <c r="D273" s="117" t="s">
        <v>374</v>
      </c>
      <c r="E273" s="117" t="s">
        <v>374</v>
      </c>
      <c r="F273" s="117" t="s">
        <v>374</v>
      </c>
      <c r="G273" s="117" t="s">
        <v>374</v>
      </c>
      <c r="H273" s="117" t="s">
        <v>374</v>
      </c>
      <c r="I273" s="117" t="s">
        <v>374</v>
      </c>
      <c r="J273" s="26">
        <f>'c-23'!C32</f>
        <v>1855</v>
      </c>
      <c r="K273" s="117" t="s">
        <v>374</v>
      </c>
      <c r="L273" s="117" t="s">
        <v>374</v>
      </c>
      <c r="M273" s="117" t="s">
        <v>374</v>
      </c>
      <c r="N273" s="118" t="s">
        <v>374</v>
      </c>
      <c r="O273" s="65" t="s">
        <v>374</v>
      </c>
      <c r="P273" s="65" t="s">
        <v>374</v>
      </c>
    </row>
    <row r="274" spans="1:16" ht="15.75" customHeight="1">
      <c r="A274" s="120" t="s">
        <v>1032</v>
      </c>
      <c r="B274" s="26">
        <f t="shared" si="13"/>
        <v>590</v>
      </c>
      <c r="C274" s="117" t="s">
        <v>374</v>
      </c>
      <c r="D274" s="117" t="s">
        <v>374</v>
      </c>
      <c r="E274" s="117" t="s">
        <v>374</v>
      </c>
      <c r="F274" s="117" t="s">
        <v>374</v>
      </c>
      <c r="G274" s="117" t="s">
        <v>374</v>
      </c>
      <c r="H274" s="117" t="s">
        <v>374</v>
      </c>
      <c r="I274" s="117" t="s">
        <v>374</v>
      </c>
      <c r="J274" s="26">
        <f>'c-23'!C46</f>
        <v>576</v>
      </c>
      <c r="K274" s="117" t="s">
        <v>374</v>
      </c>
      <c r="L274" s="24">
        <f>'c-15'!C49</f>
        <v>14</v>
      </c>
      <c r="M274" s="117" t="s">
        <v>374</v>
      </c>
      <c r="N274" s="118" t="s">
        <v>374</v>
      </c>
      <c r="O274" s="65" t="s">
        <v>374</v>
      </c>
      <c r="P274" s="65" t="s">
        <v>374</v>
      </c>
    </row>
    <row r="275" spans="1:16" ht="15.75" customHeight="1">
      <c r="A275" s="120" t="s">
        <v>1031</v>
      </c>
      <c r="B275" s="26">
        <f t="shared" si="13"/>
        <v>687</v>
      </c>
      <c r="C275" s="117" t="s">
        <v>374</v>
      </c>
      <c r="D275" s="117" t="s">
        <v>374</v>
      </c>
      <c r="E275" s="117" t="s">
        <v>374</v>
      </c>
      <c r="F275" s="117" t="s">
        <v>374</v>
      </c>
      <c r="G275" s="117" t="s">
        <v>374</v>
      </c>
      <c r="H275" s="117" t="s">
        <v>374</v>
      </c>
      <c r="I275" s="117" t="s">
        <v>374</v>
      </c>
      <c r="J275" s="117" t="s">
        <v>374</v>
      </c>
      <c r="K275" s="117" t="s">
        <v>374</v>
      </c>
      <c r="L275" s="24">
        <f>'c-15'!C50</f>
        <v>687</v>
      </c>
      <c r="M275" s="117" t="s">
        <v>374</v>
      </c>
      <c r="N275" s="117" t="s">
        <v>374</v>
      </c>
      <c r="O275" s="117" t="s">
        <v>374</v>
      </c>
      <c r="P275" s="117" t="s">
        <v>374</v>
      </c>
    </row>
    <row r="276" spans="1:16" ht="15.75" customHeight="1">
      <c r="A276" s="120" t="s">
        <v>320</v>
      </c>
      <c r="B276" s="26">
        <f t="shared" si="13"/>
        <v>1896</v>
      </c>
      <c r="C276" s="117" t="s">
        <v>374</v>
      </c>
      <c r="D276" s="117" t="s">
        <v>374</v>
      </c>
      <c r="E276" s="117" t="s">
        <v>374</v>
      </c>
      <c r="F276" s="117" t="s">
        <v>374</v>
      </c>
      <c r="G276" s="117" t="s">
        <v>374</v>
      </c>
      <c r="H276" s="117" t="s">
        <v>374</v>
      </c>
      <c r="I276" s="117" t="s">
        <v>374</v>
      </c>
      <c r="J276" s="26">
        <f>'c-23'!C39</f>
        <v>638</v>
      </c>
      <c r="K276" s="117" t="s">
        <v>374</v>
      </c>
      <c r="L276" s="24">
        <f>'c-15'!C39</f>
        <v>1258</v>
      </c>
      <c r="M276" s="117" t="s">
        <v>374</v>
      </c>
      <c r="N276" s="118" t="s">
        <v>374</v>
      </c>
      <c r="O276" s="65" t="s">
        <v>374</v>
      </c>
      <c r="P276" s="65" t="s">
        <v>374</v>
      </c>
    </row>
    <row r="277" spans="1:16" ht="15.75" customHeight="1">
      <c r="A277" s="120" t="s">
        <v>321</v>
      </c>
      <c r="B277" s="26">
        <f t="shared" si="13"/>
        <v>1718</v>
      </c>
      <c r="C277" s="117" t="s">
        <v>374</v>
      </c>
      <c r="D277" s="117" t="s">
        <v>374</v>
      </c>
      <c r="E277" s="117" t="s">
        <v>374</v>
      </c>
      <c r="F277" s="117" t="s">
        <v>374</v>
      </c>
      <c r="G277" s="117" t="s">
        <v>374</v>
      </c>
      <c r="H277" s="117" t="s">
        <v>374</v>
      </c>
      <c r="I277" s="117" t="s">
        <v>374</v>
      </c>
      <c r="J277" s="26">
        <f>'c-23'!C54</f>
        <v>1718</v>
      </c>
      <c r="K277" s="117" t="s">
        <v>374</v>
      </c>
      <c r="L277" s="64" t="s">
        <v>374</v>
      </c>
      <c r="M277" s="117" t="s">
        <v>374</v>
      </c>
      <c r="N277" s="118" t="s">
        <v>374</v>
      </c>
      <c r="O277" s="65" t="s">
        <v>374</v>
      </c>
      <c r="P277" s="65" t="s">
        <v>374</v>
      </c>
    </row>
    <row r="278" spans="1:16" ht="15.75" customHeight="1">
      <c r="A278" s="120" t="s">
        <v>426</v>
      </c>
      <c r="B278" s="26">
        <f t="shared" si="13"/>
        <v>1375</v>
      </c>
      <c r="C278" s="117" t="s">
        <v>374</v>
      </c>
      <c r="D278" s="117" t="s">
        <v>374</v>
      </c>
      <c r="E278" s="117" t="s">
        <v>374</v>
      </c>
      <c r="F278" s="117" t="s">
        <v>374</v>
      </c>
      <c r="G278" s="117" t="s">
        <v>374</v>
      </c>
      <c r="H278" s="117" t="s">
        <v>374</v>
      </c>
      <c r="I278" s="117" t="s">
        <v>374</v>
      </c>
      <c r="J278" s="26">
        <f>'c-23'!C63</f>
        <v>1375</v>
      </c>
      <c r="K278" s="117" t="s">
        <v>374</v>
      </c>
      <c r="L278" s="64" t="s">
        <v>374</v>
      </c>
      <c r="M278" s="117" t="s">
        <v>374</v>
      </c>
      <c r="N278" s="118" t="s">
        <v>374</v>
      </c>
      <c r="O278" s="65" t="s">
        <v>374</v>
      </c>
      <c r="P278" s="65" t="s">
        <v>374</v>
      </c>
    </row>
    <row r="279" spans="1:16" ht="15.75" customHeight="1">
      <c r="A279" s="120" t="s">
        <v>529</v>
      </c>
      <c r="B279" s="26">
        <f t="shared" si="13"/>
        <v>1414</v>
      </c>
      <c r="C279" s="117" t="s">
        <v>374</v>
      </c>
      <c r="D279" s="117" t="s">
        <v>374</v>
      </c>
      <c r="E279" s="117" t="s">
        <v>374</v>
      </c>
      <c r="F279" s="117" t="s">
        <v>374</v>
      </c>
      <c r="G279" s="117" t="s">
        <v>374</v>
      </c>
      <c r="H279" s="117" t="s">
        <v>374</v>
      </c>
      <c r="I279" s="117" t="s">
        <v>374</v>
      </c>
      <c r="J279" s="24">
        <f>'c-23'!C71</f>
        <v>636</v>
      </c>
      <c r="K279" s="117" t="s">
        <v>374</v>
      </c>
      <c r="L279" s="64">
        <f>'c-15'!C72</f>
        <v>778</v>
      </c>
      <c r="M279" s="117" t="s">
        <v>374</v>
      </c>
      <c r="N279" s="118" t="s">
        <v>374</v>
      </c>
      <c r="O279" s="65" t="s">
        <v>374</v>
      </c>
      <c r="P279" s="65" t="s">
        <v>374</v>
      </c>
    </row>
    <row r="280" spans="1:16" ht="15.75" customHeight="1">
      <c r="A280" s="120" t="s">
        <v>530</v>
      </c>
      <c r="B280" s="26">
        <f t="shared" si="13"/>
        <v>1080</v>
      </c>
      <c r="C280" s="117" t="s">
        <v>374</v>
      </c>
      <c r="D280" s="117" t="s">
        <v>374</v>
      </c>
      <c r="E280" s="117" t="s">
        <v>374</v>
      </c>
      <c r="F280" s="117" t="s">
        <v>374</v>
      </c>
      <c r="G280" s="117" t="s">
        <v>374</v>
      </c>
      <c r="H280" s="117" t="s">
        <v>374</v>
      </c>
      <c r="I280" s="117" t="s">
        <v>374</v>
      </c>
      <c r="J280" s="24">
        <f>'c-23'!C79</f>
        <v>650</v>
      </c>
      <c r="K280" s="117" t="s">
        <v>374</v>
      </c>
      <c r="L280" s="24">
        <f>'c-15'!C80</f>
        <v>430</v>
      </c>
      <c r="M280" s="117" t="s">
        <v>374</v>
      </c>
      <c r="N280" s="118" t="s">
        <v>374</v>
      </c>
      <c r="O280" s="65" t="s">
        <v>374</v>
      </c>
      <c r="P280" s="65" t="s">
        <v>374</v>
      </c>
    </row>
    <row r="281" spans="1:16" ht="15.75" customHeight="1">
      <c r="A281" s="120" t="s">
        <v>531</v>
      </c>
      <c r="B281" s="26">
        <f t="shared" si="13"/>
        <v>1212</v>
      </c>
      <c r="C281" s="117" t="s">
        <v>374</v>
      </c>
      <c r="D281" s="117" t="s">
        <v>374</v>
      </c>
      <c r="E281" s="117" t="s">
        <v>374</v>
      </c>
      <c r="F281" s="117" t="s">
        <v>374</v>
      </c>
      <c r="G281" s="117" t="s">
        <v>374</v>
      </c>
      <c r="H281" s="117" t="s">
        <v>374</v>
      </c>
      <c r="I281" s="117" t="s">
        <v>374</v>
      </c>
      <c r="J281" s="24">
        <f>'c-23'!C80</f>
        <v>755</v>
      </c>
      <c r="K281" s="117" t="s">
        <v>374</v>
      </c>
      <c r="L281" s="24">
        <f>'c-15'!C82</f>
        <v>457</v>
      </c>
      <c r="M281" s="117" t="s">
        <v>374</v>
      </c>
      <c r="N281" s="118" t="s">
        <v>374</v>
      </c>
      <c r="O281" s="65" t="s">
        <v>374</v>
      </c>
      <c r="P281" s="65" t="s">
        <v>374</v>
      </c>
    </row>
    <row r="282" spans="1:16" ht="15.75" customHeight="1">
      <c r="A282" s="120" t="s">
        <v>558</v>
      </c>
      <c r="B282" s="26">
        <f t="shared" si="13"/>
        <v>1114</v>
      </c>
      <c r="C282" s="117" t="s">
        <v>374</v>
      </c>
      <c r="D282" s="117" t="s">
        <v>374</v>
      </c>
      <c r="E282" s="117" t="s">
        <v>374</v>
      </c>
      <c r="F282" s="117" t="s">
        <v>374</v>
      </c>
      <c r="G282" s="117" t="s">
        <v>374</v>
      </c>
      <c r="H282" s="117" t="s">
        <v>374</v>
      </c>
      <c r="I282" s="117" t="s">
        <v>374</v>
      </c>
      <c r="J282" s="24">
        <f>'c-23'!C87</f>
        <v>1114</v>
      </c>
      <c r="K282" s="117" t="s">
        <v>374</v>
      </c>
      <c r="L282" s="64" t="s">
        <v>374</v>
      </c>
      <c r="M282" s="117" t="s">
        <v>374</v>
      </c>
      <c r="N282" s="118" t="s">
        <v>374</v>
      </c>
      <c r="O282" s="65" t="s">
        <v>374</v>
      </c>
      <c r="P282" s="65" t="s">
        <v>374</v>
      </c>
    </row>
    <row r="283" spans="1:16" ht="15.75" customHeight="1">
      <c r="A283" s="120" t="s">
        <v>510</v>
      </c>
      <c r="B283" s="26">
        <f t="shared" si="13"/>
        <v>1304</v>
      </c>
      <c r="C283" s="117" t="s">
        <v>374</v>
      </c>
      <c r="D283" s="117" t="s">
        <v>374</v>
      </c>
      <c r="E283" s="117" t="s">
        <v>374</v>
      </c>
      <c r="F283" s="117" t="s">
        <v>374</v>
      </c>
      <c r="G283" s="117" t="s">
        <v>374</v>
      </c>
      <c r="H283" s="117" t="s">
        <v>374</v>
      </c>
      <c r="I283" s="117" t="s">
        <v>374</v>
      </c>
      <c r="J283" s="26">
        <f>'c-23'!C108</f>
        <v>1304</v>
      </c>
      <c r="K283" s="117" t="s">
        <v>374</v>
      </c>
      <c r="L283" s="117" t="s">
        <v>374</v>
      </c>
      <c r="M283" s="117" t="s">
        <v>374</v>
      </c>
      <c r="N283" s="118" t="s">
        <v>374</v>
      </c>
      <c r="O283" s="65" t="s">
        <v>374</v>
      </c>
      <c r="P283" s="65" t="s">
        <v>374</v>
      </c>
    </row>
    <row r="284" spans="1:16" s="91" customFormat="1" ht="15.75" customHeight="1">
      <c r="A284" s="120" t="s">
        <v>769</v>
      </c>
      <c r="B284" s="26">
        <f t="shared" si="13"/>
        <v>2977</v>
      </c>
      <c r="C284" s="117" t="s">
        <v>374</v>
      </c>
      <c r="D284" s="117" t="s">
        <v>374</v>
      </c>
      <c r="E284" s="117" t="s">
        <v>374</v>
      </c>
      <c r="F284" s="117" t="s">
        <v>374</v>
      </c>
      <c r="G284" s="117" t="s">
        <v>374</v>
      </c>
      <c r="H284" s="117" t="s">
        <v>374</v>
      </c>
      <c r="I284" s="117" t="s">
        <v>374</v>
      </c>
      <c r="J284" s="26">
        <f>'c-23'!C113</f>
        <v>948</v>
      </c>
      <c r="K284" s="117">
        <f>'c-24'!C99</f>
        <v>2029</v>
      </c>
      <c r="L284" s="117" t="s">
        <v>374</v>
      </c>
      <c r="M284" s="117" t="s">
        <v>374</v>
      </c>
      <c r="N284" s="118" t="s">
        <v>374</v>
      </c>
      <c r="O284" s="65" t="s">
        <v>374</v>
      </c>
      <c r="P284" s="65" t="s">
        <v>374</v>
      </c>
    </row>
    <row r="285" spans="1:16" ht="15.75" customHeight="1">
      <c r="A285" s="113"/>
      <c r="B285" s="26"/>
      <c r="C285" s="117"/>
      <c r="D285" s="117"/>
      <c r="E285" s="117"/>
      <c r="F285" s="117"/>
      <c r="G285" s="117"/>
      <c r="H285" s="117"/>
      <c r="I285" s="51"/>
      <c r="J285" s="26"/>
      <c r="K285" s="51"/>
      <c r="L285" s="117"/>
      <c r="M285" s="51"/>
      <c r="N285" s="21"/>
      <c r="O285" s="65"/>
      <c r="P285" s="65"/>
    </row>
    <row r="286" spans="1:16" ht="15.75" customHeight="1">
      <c r="A286" s="106" t="s">
        <v>235</v>
      </c>
      <c r="B286" s="62">
        <f>SUM(B288:B301)</f>
        <v>65565</v>
      </c>
      <c r="C286" s="97" t="s">
        <v>374</v>
      </c>
      <c r="D286" s="97" t="s">
        <v>374</v>
      </c>
      <c r="E286" s="97" t="s">
        <v>374</v>
      </c>
      <c r="F286" s="97" t="s">
        <v>374</v>
      </c>
      <c r="G286" s="97" t="s">
        <v>374</v>
      </c>
      <c r="H286" s="97" t="s">
        <v>374</v>
      </c>
      <c r="I286" s="97" t="s">
        <v>374</v>
      </c>
      <c r="J286" s="62" t="s">
        <v>374</v>
      </c>
      <c r="K286" s="97">
        <f>SUM(K288:K301)</f>
        <v>65565</v>
      </c>
      <c r="L286" s="97" t="s">
        <v>374</v>
      </c>
      <c r="M286" s="97" t="s">
        <v>374</v>
      </c>
      <c r="N286" s="98" t="s">
        <v>374</v>
      </c>
      <c r="O286" s="112" t="s">
        <v>374</v>
      </c>
      <c r="P286" s="112" t="s">
        <v>374</v>
      </c>
    </row>
    <row r="287" spans="1:16" ht="15.75" customHeight="1">
      <c r="A287" s="120"/>
      <c r="B287" s="64"/>
      <c r="C287" s="117"/>
      <c r="D287" s="117"/>
      <c r="E287" s="117"/>
      <c r="F287" s="117"/>
      <c r="G287" s="117"/>
      <c r="H287" s="117"/>
      <c r="I287" s="117"/>
      <c r="J287" s="64"/>
      <c r="K287" s="117"/>
      <c r="L287" s="117"/>
      <c r="M287" s="117"/>
      <c r="N287" s="118"/>
      <c r="O287" s="65"/>
      <c r="P287" s="65"/>
    </row>
    <row r="288" spans="1:16" ht="15.75" customHeight="1">
      <c r="A288" s="120" t="s">
        <v>376</v>
      </c>
      <c r="B288" s="26">
        <f t="shared" ref="B288:B301" si="14">SUM(C288:P288)</f>
        <v>11179</v>
      </c>
      <c r="C288" s="117" t="s">
        <v>374</v>
      </c>
      <c r="D288" s="117" t="s">
        <v>374</v>
      </c>
      <c r="E288" s="117" t="s">
        <v>374</v>
      </c>
      <c r="F288" s="117" t="s">
        <v>374</v>
      </c>
      <c r="G288" s="117" t="s">
        <v>374</v>
      </c>
      <c r="H288" s="117" t="s">
        <v>374</v>
      </c>
      <c r="I288" s="117" t="s">
        <v>374</v>
      </c>
      <c r="J288" s="64" t="s">
        <v>374</v>
      </c>
      <c r="K288" s="51">
        <f>'c-24'!C12</f>
        <v>11179</v>
      </c>
      <c r="L288" s="117" t="s">
        <v>374</v>
      </c>
      <c r="M288" s="117" t="s">
        <v>374</v>
      </c>
      <c r="N288" s="118" t="s">
        <v>374</v>
      </c>
      <c r="O288" s="65" t="s">
        <v>374</v>
      </c>
      <c r="P288" s="65" t="s">
        <v>374</v>
      </c>
    </row>
    <row r="289" spans="1:16" ht="15.75" customHeight="1">
      <c r="A289" s="120" t="s">
        <v>317</v>
      </c>
      <c r="B289" s="26">
        <f t="shared" si="14"/>
        <v>11667</v>
      </c>
      <c r="C289" s="117" t="s">
        <v>374</v>
      </c>
      <c r="D289" s="117" t="s">
        <v>374</v>
      </c>
      <c r="E289" s="117" t="s">
        <v>374</v>
      </c>
      <c r="F289" s="117" t="s">
        <v>374</v>
      </c>
      <c r="G289" s="117" t="s">
        <v>374</v>
      </c>
      <c r="H289" s="117" t="s">
        <v>374</v>
      </c>
      <c r="I289" s="117" t="s">
        <v>374</v>
      </c>
      <c r="J289" s="64" t="s">
        <v>374</v>
      </c>
      <c r="K289" s="51">
        <f>'c-24'!C19</f>
        <v>11667</v>
      </c>
      <c r="L289" s="117" t="s">
        <v>374</v>
      </c>
      <c r="M289" s="117" t="s">
        <v>374</v>
      </c>
      <c r="N289" s="118" t="s">
        <v>374</v>
      </c>
      <c r="O289" s="65" t="s">
        <v>374</v>
      </c>
      <c r="P289" s="65" t="s">
        <v>374</v>
      </c>
    </row>
    <row r="290" spans="1:16" ht="15.75" customHeight="1">
      <c r="A290" s="120" t="s">
        <v>893</v>
      </c>
      <c r="B290" s="26">
        <f t="shared" si="14"/>
        <v>3087</v>
      </c>
      <c r="C290" s="117" t="s">
        <v>374</v>
      </c>
      <c r="D290" s="117" t="s">
        <v>374</v>
      </c>
      <c r="E290" s="117" t="s">
        <v>374</v>
      </c>
      <c r="F290" s="117" t="s">
        <v>374</v>
      </c>
      <c r="G290" s="117" t="s">
        <v>374</v>
      </c>
      <c r="H290" s="117" t="s">
        <v>374</v>
      </c>
      <c r="I290" s="117" t="s">
        <v>374</v>
      </c>
      <c r="J290" s="117" t="s">
        <v>374</v>
      </c>
      <c r="K290" s="26">
        <f>'c-24'!C24</f>
        <v>3087</v>
      </c>
      <c r="L290" s="117" t="s">
        <v>374</v>
      </c>
      <c r="M290" s="117" t="s">
        <v>374</v>
      </c>
      <c r="N290" s="118" t="s">
        <v>374</v>
      </c>
      <c r="O290" s="65" t="s">
        <v>374</v>
      </c>
      <c r="P290" s="65" t="s">
        <v>374</v>
      </c>
    </row>
    <row r="291" spans="1:16" ht="15.75" customHeight="1">
      <c r="A291" s="120" t="s">
        <v>892</v>
      </c>
      <c r="B291" s="26">
        <f t="shared" si="14"/>
        <v>3458</v>
      </c>
      <c r="C291" s="117" t="s">
        <v>374</v>
      </c>
      <c r="D291" s="117" t="s">
        <v>374</v>
      </c>
      <c r="E291" s="117" t="s">
        <v>374</v>
      </c>
      <c r="F291" s="117" t="s">
        <v>374</v>
      </c>
      <c r="G291" s="117" t="s">
        <v>374</v>
      </c>
      <c r="H291" s="117" t="s">
        <v>374</v>
      </c>
      <c r="I291" s="117" t="s">
        <v>374</v>
      </c>
      <c r="J291" s="117" t="s">
        <v>374</v>
      </c>
      <c r="K291" s="26">
        <f>'c-24'!C22</f>
        <v>3458</v>
      </c>
      <c r="L291" s="117" t="s">
        <v>374</v>
      </c>
      <c r="M291" s="117" t="s">
        <v>374</v>
      </c>
      <c r="N291" s="118" t="s">
        <v>374</v>
      </c>
      <c r="O291" s="65" t="s">
        <v>374</v>
      </c>
      <c r="P291" s="65" t="s">
        <v>374</v>
      </c>
    </row>
    <row r="292" spans="1:16" ht="15.75" customHeight="1">
      <c r="A292" s="120" t="s">
        <v>770</v>
      </c>
      <c r="B292" s="26">
        <f t="shared" si="14"/>
        <v>4510</v>
      </c>
      <c r="C292" s="117" t="s">
        <v>374</v>
      </c>
      <c r="D292" s="117" t="s">
        <v>374</v>
      </c>
      <c r="E292" s="117" t="s">
        <v>374</v>
      </c>
      <c r="F292" s="117" t="s">
        <v>374</v>
      </c>
      <c r="G292" s="117" t="s">
        <v>374</v>
      </c>
      <c r="H292" s="117" t="s">
        <v>374</v>
      </c>
      <c r="I292" s="117" t="s">
        <v>374</v>
      </c>
      <c r="J292" s="117" t="s">
        <v>374</v>
      </c>
      <c r="K292" s="26">
        <f>'c-24'!C23</f>
        <v>4510</v>
      </c>
      <c r="L292" s="117" t="s">
        <v>374</v>
      </c>
      <c r="M292" s="117" t="s">
        <v>374</v>
      </c>
      <c r="N292" s="118" t="s">
        <v>374</v>
      </c>
      <c r="O292" s="65" t="s">
        <v>374</v>
      </c>
      <c r="P292" s="65" t="s">
        <v>374</v>
      </c>
    </row>
    <row r="293" spans="1:16" ht="15.75" customHeight="1">
      <c r="A293" s="120" t="s">
        <v>175</v>
      </c>
      <c r="B293" s="26">
        <f t="shared" si="14"/>
        <v>1744</v>
      </c>
      <c r="C293" s="117" t="s">
        <v>374</v>
      </c>
      <c r="D293" s="117" t="s">
        <v>374</v>
      </c>
      <c r="E293" s="117" t="s">
        <v>374</v>
      </c>
      <c r="F293" s="117" t="s">
        <v>374</v>
      </c>
      <c r="G293" s="117" t="s">
        <v>374</v>
      </c>
      <c r="H293" s="117" t="s">
        <v>374</v>
      </c>
      <c r="I293" s="117" t="s">
        <v>374</v>
      </c>
      <c r="J293" s="117" t="s">
        <v>374</v>
      </c>
      <c r="K293" s="26">
        <f>'c-24'!C84</f>
        <v>1744</v>
      </c>
      <c r="L293" s="117" t="s">
        <v>374</v>
      </c>
      <c r="M293" s="117" t="s">
        <v>374</v>
      </c>
      <c r="N293" s="118" t="s">
        <v>374</v>
      </c>
      <c r="O293" s="65" t="s">
        <v>374</v>
      </c>
      <c r="P293" s="65" t="s">
        <v>374</v>
      </c>
    </row>
    <row r="294" spans="1:16" ht="15.75" customHeight="1">
      <c r="A294" s="120" t="s">
        <v>319</v>
      </c>
      <c r="B294" s="26">
        <f t="shared" si="14"/>
        <v>6927</v>
      </c>
      <c r="C294" s="117" t="s">
        <v>374</v>
      </c>
      <c r="D294" s="117" t="s">
        <v>374</v>
      </c>
      <c r="E294" s="117" t="s">
        <v>374</v>
      </c>
      <c r="F294" s="117" t="s">
        <v>374</v>
      </c>
      <c r="G294" s="117" t="s">
        <v>374</v>
      </c>
      <c r="H294" s="117" t="s">
        <v>374</v>
      </c>
      <c r="I294" s="117" t="s">
        <v>374</v>
      </c>
      <c r="J294" s="117" t="s">
        <v>374</v>
      </c>
      <c r="K294" s="26">
        <f>'c-24'!C28</f>
        <v>6927</v>
      </c>
      <c r="L294" s="117" t="s">
        <v>374</v>
      </c>
      <c r="M294" s="117" t="s">
        <v>374</v>
      </c>
      <c r="N294" s="118" t="s">
        <v>374</v>
      </c>
      <c r="O294" s="65" t="s">
        <v>374</v>
      </c>
      <c r="P294" s="65" t="s">
        <v>374</v>
      </c>
    </row>
    <row r="295" spans="1:16" ht="15.75" customHeight="1">
      <c r="A295" s="120" t="s">
        <v>771</v>
      </c>
      <c r="B295" s="26">
        <f t="shared" si="14"/>
        <v>1137</v>
      </c>
      <c r="C295" s="117" t="s">
        <v>374</v>
      </c>
      <c r="D295" s="117" t="s">
        <v>374</v>
      </c>
      <c r="E295" s="117" t="s">
        <v>374</v>
      </c>
      <c r="F295" s="117" t="s">
        <v>374</v>
      </c>
      <c r="G295" s="117" t="s">
        <v>374</v>
      </c>
      <c r="H295" s="117" t="s">
        <v>374</v>
      </c>
      <c r="I295" s="117" t="s">
        <v>374</v>
      </c>
      <c r="J295" s="117" t="s">
        <v>374</v>
      </c>
      <c r="K295" s="26">
        <f>'c-24'!C42</f>
        <v>1137</v>
      </c>
      <c r="L295" s="117" t="s">
        <v>374</v>
      </c>
      <c r="M295" s="117" t="s">
        <v>374</v>
      </c>
      <c r="N295" s="118" t="s">
        <v>374</v>
      </c>
      <c r="O295" s="65" t="s">
        <v>374</v>
      </c>
      <c r="P295" s="65" t="s">
        <v>374</v>
      </c>
    </row>
    <row r="296" spans="1:16" ht="15.75" customHeight="1">
      <c r="A296" s="120" t="s">
        <v>772</v>
      </c>
      <c r="B296" s="26">
        <f t="shared" si="14"/>
        <v>2398</v>
      </c>
      <c r="C296" s="117" t="s">
        <v>374</v>
      </c>
      <c r="D296" s="117" t="s">
        <v>374</v>
      </c>
      <c r="E296" s="117" t="s">
        <v>374</v>
      </c>
      <c r="F296" s="117" t="s">
        <v>374</v>
      </c>
      <c r="G296" s="117" t="s">
        <v>374</v>
      </c>
      <c r="H296" s="117" t="s">
        <v>374</v>
      </c>
      <c r="I296" s="117" t="s">
        <v>374</v>
      </c>
      <c r="J296" s="117" t="s">
        <v>374</v>
      </c>
      <c r="K296" s="26">
        <f>'c-24'!C41</f>
        <v>2398</v>
      </c>
      <c r="L296" s="117" t="s">
        <v>374</v>
      </c>
      <c r="M296" s="117" t="s">
        <v>374</v>
      </c>
      <c r="N296" s="118" t="s">
        <v>374</v>
      </c>
      <c r="O296" s="65" t="s">
        <v>374</v>
      </c>
      <c r="P296" s="65" t="s">
        <v>374</v>
      </c>
    </row>
    <row r="297" spans="1:16" ht="15.75" customHeight="1">
      <c r="A297" s="120" t="s">
        <v>773</v>
      </c>
      <c r="B297" s="26">
        <f t="shared" si="14"/>
        <v>1144</v>
      </c>
      <c r="C297" s="117" t="s">
        <v>374</v>
      </c>
      <c r="D297" s="117" t="s">
        <v>374</v>
      </c>
      <c r="E297" s="117" t="s">
        <v>374</v>
      </c>
      <c r="F297" s="117" t="s">
        <v>374</v>
      </c>
      <c r="G297" s="117" t="s">
        <v>374</v>
      </c>
      <c r="H297" s="117" t="s">
        <v>374</v>
      </c>
      <c r="I297" s="117" t="s">
        <v>374</v>
      </c>
      <c r="J297" s="117" t="s">
        <v>374</v>
      </c>
      <c r="K297" s="26">
        <f>'c-24'!C34</f>
        <v>1144</v>
      </c>
      <c r="L297" s="117" t="s">
        <v>374</v>
      </c>
      <c r="M297" s="117" t="s">
        <v>374</v>
      </c>
      <c r="N297" s="118" t="s">
        <v>374</v>
      </c>
      <c r="O297" s="65" t="s">
        <v>374</v>
      </c>
      <c r="P297" s="65" t="s">
        <v>374</v>
      </c>
    </row>
    <row r="298" spans="1:16" ht="15.75" customHeight="1">
      <c r="A298" s="131" t="s">
        <v>774</v>
      </c>
      <c r="B298" s="26">
        <f t="shared" si="14"/>
        <v>6242</v>
      </c>
      <c r="C298" s="117" t="s">
        <v>374</v>
      </c>
      <c r="D298" s="117" t="s">
        <v>374</v>
      </c>
      <c r="E298" s="117" t="s">
        <v>374</v>
      </c>
      <c r="F298" s="117" t="s">
        <v>374</v>
      </c>
      <c r="G298" s="117" t="s">
        <v>374</v>
      </c>
      <c r="H298" s="117" t="s">
        <v>374</v>
      </c>
      <c r="I298" s="117" t="s">
        <v>374</v>
      </c>
      <c r="J298" s="117" t="s">
        <v>374</v>
      </c>
      <c r="K298" s="26">
        <f>'c-24'!C46</f>
        <v>6242</v>
      </c>
      <c r="L298" s="117" t="s">
        <v>374</v>
      </c>
      <c r="M298" s="117" t="s">
        <v>374</v>
      </c>
      <c r="N298" s="118" t="s">
        <v>374</v>
      </c>
      <c r="O298" s="65" t="s">
        <v>374</v>
      </c>
      <c r="P298" s="65" t="s">
        <v>374</v>
      </c>
    </row>
    <row r="299" spans="1:16" ht="15.75" customHeight="1">
      <c r="A299" s="120" t="s">
        <v>775</v>
      </c>
      <c r="B299" s="26">
        <f t="shared" si="14"/>
        <v>8402</v>
      </c>
      <c r="C299" s="117" t="s">
        <v>374</v>
      </c>
      <c r="D299" s="117" t="s">
        <v>374</v>
      </c>
      <c r="E299" s="117" t="s">
        <v>374</v>
      </c>
      <c r="F299" s="117" t="s">
        <v>374</v>
      </c>
      <c r="G299" s="117" t="s">
        <v>374</v>
      </c>
      <c r="H299" s="117" t="s">
        <v>374</v>
      </c>
      <c r="I299" s="117" t="s">
        <v>374</v>
      </c>
      <c r="J299" s="117" t="s">
        <v>374</v>
      </c>
      <c r="K299" s="26">
        <f>'c-24'!C53</f>
        <v>8402</v>
      </c>
      <c r="L299" s="117" t="s">
        <v>374</v>
      </c>
      <c r="M299" s="117" t="s">
        <v>374</v>
      </c>
      <c r="N299" s="118" t="s">
        <v>374</v>
      </c>
      <c r="O299" s="65" t="s">
        <v>374</v>
      </c>
      <c r="P299" s="65" t="s">
        <v>374</v>
      </c>
    </row>
    <row r="300" spans="1:16" ht="15.75" customHeight="1">
      <c r="A300" s="120" t="s">
        <v>776</v>
      </c>
      <c r="B300" s="26">
        <f t="shared" si="14"/>
        <v>2019</v>
      </c>
      <c r="C300" s="117" t="s">
        <v>374</v>
      </c>
      <c r="D300" s="117" t="s">
        <v>374</v>
      </c>
      <c r="E300" s="117" t="s">
        <v>374</v>
      </c>
      <c r="F300" s="117" t="s">
        <v>374</v>
      </c>
      <c r="G300" s="117" t="s">
        <v>374</v>
      </c>
      <c r="H300" s="117" t="s">
        <v>374</v>
      </c>
      <c r="I300" s="117" t="s">
        <v>374</v>
      </c>
      <c r="J300" s="117" t="s">
        <v>374</v>
      </c>
      <c r="K300" s="26">
        <f>'c-24'!C76</f>
        <v>2019</v>
      </c>
      <c r="L300" s="117" t="s">
        <v>374</v>
      </c>
      <c r="M300" s="117" t="s">
        <v>374</v>
      </c>
      <c r="N300" s="118" t="s">
        <v>374</v>
      </c>
      <c r="O300" s="65" t="s">
        <v>374</v>
      </c>
      <c r="P300" s="65" t="s">
        <v>374</v>
      </c>
    </row>
    <row r="301" spans="1:16" ht="15.75" customHeight="1">
      <c r="A301" s="120" t="s">
        <v>510</v>
      </c>
      <c r="B301" s="26">
        <f t="shared" si="14"/>
        <v>1651</v>
      </c>
      <c r="C301" s="117" t="s">
        <v>374</v>
      </c>
      <c r="D301" s="117" t="s">
        <v>374</v>
      </c>
      <c r="E301" s="117" t="s">
        <v>374</v>
      </c>
      <c r="F301" s="117" t="s">
        <v>374</v>
      </c>
      <c r="G301" s="117" t="s">
        <v>374</v>
      </c>
      <c r="H301" s="117" t="s">
        <v>374</v>
      </c>
      <c r="I301" s="117" t="s">
        <v>374</v>
      </c>
      <c r="J301" s="117" t="s">
        <v>374</v>
      </c>
      <c r="K301" s="26">
        <f>'c-24'!C95</f>
        <v>1651</v>
      </c>
      <c r="L301" s="117" t="s">
        <v>374</v>
      </c>
      <c r="M301" s="117" t="s">
        <v>374</v>
      </c>
      <c r="N301" s="118" t="s">
        <v>374</v>
      </c>
      <c r="O301" s="65" t="s">
        <v>374</v>
      </c>
      <c r="P301" s="65" t="s">
        <v>374</v>
      </c>
    </row>
    <row r="302" spans="1:16" s="91" customFormat="1" ht="15.75" customHeight="1">
      <c r="A302" s="113"/>
      <c r="B302" s="26"/>
      <c r="C302" s="51"/>
      <c r="D302" s="51"/>
      <c r="E302" s="51"/>
      <c r="F302" s="51"/>
      <c r="G302" s="51"/>
      <c r="H302" s="51"/>
      <c r="I302" s="51"/>
      <c r="J302" s="51"/>
      <c r="K302" s="26"/>
      <c r="L302" s="117"/>
      <c r="M302" s="51"/>
      <c r="N302" s="21"/>
      <c r="O302" s="65"/>
      <c r="P302" s="65"/>
    </row>
    <row r="303" spans="1:16" ht="15.75" customHeight="1">
      <c r="A303" s="106" t="s">
        <v>229</v>
      </c>
      <c r="B303" s="62">
        <f>SUM(B305:B312)</f>
        <v>14702</v>
      </c>
      <c r="C303" s="97" t="s">
        <v>374</v>
      </c>
      <c r="D303" s="97" t="s">
        <v>374</v>
      </c>
      <c r="E303" s="97" t="s">
        <v>374</v>
      </c>
      <c r="F303" s="97" t="s">
        <v>374</v>
      </c>
      <c r="G303" s="97" t="s">
        <v>374</v>
      </c>
      <c r="H303" s="97" t="s">
        <v>374</v>
      </c>
      <c r="I303" s="97" t="s">
        <v>374</v>
      </c>
      <c r="J303" s="97" t="s">
        <v>374</v>
      </c>
      <c r="K303" s="97" t="s">
        <v>374</v>
      </c>
      <c r="L303" s="62">
        <f>SUM(L305:L313)</f>
        <v>16073</v>
      </c>
      <c r="M303" s="97" t="s">
        <v>374</v>
      </c>
      <c r="N303" s="98" t="s">
        <v>374</v>
      </c>
      <c r="O303" s="112" t="s">
        <v>374</v>
      </c>
      <c r="P303" s="112" t="s">
        <v>374</v>
      </c>
    </row>
    <row r="304" spans="1:16" ht="15.75" customHeight="1">
      <c r="A304" s="120"/>
      <c r="B304" s="64"/>
      <c r="C304" s="51"/>
      <c r="D304" s="51"/>
      <c r="E304" s="51"/>
      <c r="F304" s="51"/>
      <c r="G304" s="51"/>
      <c r="H304" s="51"/>
      <c r="I304" s="51"/>
      <c r="J304" s="51"/>
      <c r="K304" s="51"/>
      <c r="L304" s="64"/>
      <c r="M304" s="117"/>
      <c r="N304" s="118"/>
      <c r="O304" s="65"/>
      <c r="P304" s="65"/>
    </row>
    <row r="305" spans="1:16" ht="15.75" customHeight="1">
      <c r="A305" s="120" t="s">
        <v>777</v>
      </c>
      <c r="B305" s="26">
        <f t="shared" ref="B305:B313" si="15">SUM(C305:P305)</f>
        <v>1310</v>
      </c>
      <c r="C305" s="117" t="s">
        <v>374</v>
      </c>
      <c r="D305" s="117" t="s">
        <v>374</v>
      </c>
      <c r="E305" s="117" t="s">
        <v>374</v>
      </c>
      <c r="F305" s="117" t="s">
        <v>374</v>
      </c>
      <c r="G305" s="117" t="s">
        <v>374</v>
      </c>
      <c r="H305" s="117" t="s">
        <v>374</v>
      </c>
      <c r="I305" s="117" t="s">
        <v>374</v>
      </c>
      <c r="J305" s="117" t="s">
        <v>374</v>
      </c>
      <c r="K305" s="117" t="s">
        <v>374</v>
      </c>
      <c r="L305" s="26">
        <f>'c-15'!C12</f>
        <v>1310</v>
      </c>
      <c r="M305" s="117" t="s">
        <v>374</v>
      </c>
      <c r="N305" s="118" t="s">
        <v>374</v>
      </c>
      <c r="O305" s="65" t="s">
        <v>374</v>
      </c>
      <c r="P305" s="65" t="s">
        <v>374</v>
      </c>
    </row>
    <row r="306" spans="1:16" ht="15.75" customHeight="1">
      <c r="A306" s="120" t="s">
        <v>448</v>
      </c>
      <c r="B306" s="26">
        <f t="shared" si="15"/>
        <v>3161</v>
      </c>
      <c r="C306" s="117" t="s">
        <v>374</v>
      </c>
      <c r="D306" s="117" t="s">
        <v>374</v>
      </c>
      <c r="E306" s="117" t="s">
        <v>374</v>
      </c>
      <c r="F306" s="117" t="s">
        <v>374</v>
      </c>
      <c r="G306" s="117" t="s">
        <v>374</v>
      </c>
      <c r="H306" s="117" t="s">
        <v>374</v>
      </c>
      <c r="I306" s="117" t="s">
        <v>374</v>
      </c>
      <c r="J306" s="117" t="s">
        <v>374</v>
      </c>
      <c r="K306" s="117" t="s">
        <v>374</v>
      </c>
      <c r="L306" s="26">
        <f>'c-15'!C20</f>
        <v>3161</v>
      </c>
      <c r="M306" s="117" t="s">
        <v>374</v>
      </c>
      <c r="N306" s="118" t="s">
        <v>374</v>
      </c>
      <c r="O306" s="65" t="s">
        <v>374</v>
      </c>
      <c r="P306" s="65" t="s">
        <v>374</v>
      </c>
    </row>
    <row r="307" spans="1:16" ht="15.75" customHeight="1">
      <c r="A307" s="113" t="s">
        <v>778</v>
      </c>
      <c r="B307" s="26">
        <f t="shared" si="15"/>
        <v>1978</v>
      </c>
      <c r="C307" s="117" t="s">
        <v>374</v>
      </c>
      <c r="D307" s="117" t="s">
        <v>374</v>
      </c>
      <c r="E307" s="117" t="s">
        <v>374</v>
      </c>
      <c r="F307" s="117" t="s">
        <v>374</v>
      </c>
      <c r="G307" s="117" t="s">
        <v>374</v>
      </c>
      <c r="H307" s="117" t="s">
        <v>374</v>
      </c>
      <c r="I307" s="117" t="s">
        <v>374</v>
      </c>
      <c r="J307" s="117" t="s">
        <v>374</v>
      </c>
      <c r="K307" s="117" t="s">
        <v>374</v>
      </c>
      <c r="L307" s="26">
        <f>'c-15'!C27</f>
        <v>1978</v>
      </c>
      <c r="M307" s="117" t="s">
        <v>374</v>
      </c>
      <c r="N307" s="118" t="s">
        <v>374</v>
      </c>
      <c r="O307" s="65" t="s">
        <v>374</v>
      </c>
      <c r="P307" s="65" t="s">
        <v>374</v>
      </c>
    </row>
    <row r="308" spans="1:16" ht="15.75" customHeight="1">
      <c r="A308" s="113" t="s">
        <v>779</v>
      </c>
      <c r="B308" s="26">
        <f t="shared" si="15"/>
        <v>2277</v>
      </c>
      <c r="C308" s="117" t="s">
        <v>374</v>
      </c>
      <c r="D308" s="117" t="s">
        <v>374</v>
      </c>
      <c r="E308" s="117" t="s">
        <v>374</v>
      </c>
      <c r="F308" s="117" t="s">
        <v>374</v>
      </c>
      <c r="G308" s="117" t="s">
        <v>374</v>
      </c>
      <c r="H308" s="117" t="s">
        <v>374</v>
      </c>
      <c r="I308" s="117" t="s">
        <v>374</v>
      </c>
      <c r="J308" s="117" t="s">
        <v>374</v>
      </c>
      <c r="K308" s="117" t="s">
        <v>374</v>
      </c>
      <c r="L308" s="26">
        <f>'c-15'!C32</f>
        <v>2277</v>
      </c>
      <c r="M308" s="117" t="s">
        <v>374</v>
      </c>
      <c r="N308" s="118" t="s">
        <v>374</v>
      </c>
      <c r="O308" s="65" t="s">
        <v>374</v>
      </c>
      <c r="P308" s="65" t="s">
        <v>374</v>
      </c>
    </row>
    <row r="309" spans="1:16" ht="15.75" customHeight="1">
      <c r="A309" s="113" t="s">
        <v>780</v>
      </c>
      <c r="B309" s="26">
        <f t="shared" si="15"/>
        <v>2036</v>
      </c>
      <c r="C309" s="117" t="s">
        <v>374</v>
      </c>
      <c r="D309" s="117" t="s">
        <v>374</v>
      </c>
      <c r="E309" s="117" t="s">
        <v>374</v>
      </c>
      <c r="F309" s="117" t="s">
        <v>374</v>
      </c>
      <c r="G309" s="117" t="s">
        <v>374</v>
      </c>
      <c r="H309" s="117" t="s">
        <v>374</v>
      </c>
      <c r="I309" s="117" t="s">
        <v>374</v>
      </c>
      <c r="J309" s="117" t="s">
        <v>374</v>
      </c>
      <c r="K309" s="117" t="s">
        <v>374</v>
      </c>
      <c r="L309" s="26">
        <f>'c-15'!C55</f>
        <v>2036</v>
      </c>
      <c r="M309" s="117" t="s">
        <v>374</v>
      </c>
      <c r="N309" s="118" t="s">
        <v>374</v>
      </c>
      <c r="O309" s="65" t="s">
        <v>374</v>
      </c>
      <c r="P309" s="65" t="s">
        <v>374</v>
      </c>
    </row>
    <row r="310" spans="1:16" ht="15.75" customHeight="1">
      <c r="A310" s="113" t="s">
        <v>781</v>
      </c>
      <c r="B310" s="26">
        <f t="shared" si="15"/>
        <v>1793</v>
      </c>
      <c r="C310" s="117" t="s">
        <v>374</v>
      </c>
      <c r="D310" s="117" t="s">
        <v>374</v>
      </c>
      <c r="E310" s="117" t="s">
        <v>374</v>
      </c>
      <c r="F310" s="117" t="s">
        <v>374</v>
      </c>
      <c r="G310" s="117" t="s">
        <v>374</v>
      </c>
      <c r="H310" s="117" t="s">
        <v>374</v>
      </c>
      <c r="I310" s="117" t="s">
        <v>374</v>
      </c>
      <c r="J310" s="117" t="s">
        <v>374</v>
      </c>
      <c r="K310" s="117" t="s">
        <v>374</v>
      </c>
      <c r="L310" s="26">
        <f>'c-15'!C64</f>
        <v>1793</v>
      </c>
      <c r="M310" s="117" t="s">
        <v>374</v>
      </c>
      <c r="N310" s="118" t="s">
        <v>374</v>
      </c>
      <c r="O310" s="65" t="s">
        <v>374</v>
      </c>
      <c r="P310" s="65" t="s">
        <v>374</v>
      </c>
    </row>
    <row r="311" spans="1:16" ht="15.75" customHeight="1">
      <c r="A311" s="120" t="s">
        <v>558</v>
      </c>
      <c r="B311" s="26">
        <f t="shared" si="15"/>
        <v>1082</v>
      </c>
      <c r="C311" s="117" t="s">
        <v>374</v>
      </c>
      <c r="D311" s="117" t="s">
        <v>374</v>
      </c>
      <c r="E311" s="117" t="s">
        <v>374</v>
      </c>
      <c r="F311" s="117" t="s">
        <v>374</v>
      </c>
      <c r="G311" s="117" t="s">
        <v>374</v>
      </c>
      <c r="H311" s="117" t="s">
        <v>374</v>
      </c>
      <c r="I311" s="117" t="s">
        <v>374</v>
      </c>
      <c r="J311" s="117" t="s">
        <v>374</v>
      </c>
      <c r="K311" s="64" t="s">
        <v>374</v>
      </c>
      <c r="L311" s="24">
        <f>'c-15'!C88</f>
        <v>1082</v>
      </c>
      <c r="M311" s="117" t="s">
        <v>374</v>
      </c>
      <c r="N311" s="118" t="s">
        <v>374</v>
      </c>
      <c r="O311" s="65" t="s">
        <v>374</v>
      </c>
      <c r="P311" s="65" t="s">
        <v>374</v>
      </c>
    </row>
    <row r="312" spans="1:16" ht="15.75" customHeight="1">
      <c r="A312" s="113" t="s">
        <v>782</v>
      </c>
      <c r="B312" s="26">
        <f t="shared" si="15"/>
        <v>1065</v>
      </c>
      <c r="C312" s="117" t="s">
        <v>374</v>
      </c>
      <c r="D312" s="117" t="s">
        <v>374</v>
      </c>
      <c r="E312" s="117" t="s">
        <v>374</v>
      </c>
      <c r="F312" s="117" t="s">
        <v>374</v>
      </c>
      <c r="G312" s="117" t="s">
        <v>374</v>
      </c>
      <c r="H312" s="117" t="s">
        <v>374</v>
      </c>
      <c r="I312" s="117" t="s">
        <v>374</v>
      </c>
      <c r="J312" s="117" t="s">
        <v>374</v>
      </c>
      <c r="K312" s="117" t="s">
        <v>374</v>
      </c>
      <c r="L312" s="26">
        <f>'c-15'!C109</f>
        <v>1065</v>
      </c>
      <c r="M312" s="117" t="s">
        <v>374</v>
      </c>
      <c r="N312" s="118" t="s">
        <v>374</v>
      </c>
      <c r="O312" s="65" t="s">
        <v>374</v>
      </c>
      <c r="P312" s="65" t="s">
        <v>374</v>
      </c>
    </row>
    <row r="313" spans="1:16" ht="15.6">
      <c r="A313" s="113" t="s">
        <v>1033</v>
      </c>
      <c r="B313" s="26">
        <f t="shared" si="15"/>
        <v>1371</v>
      </c>
      <c r="C313" s="117" t="s">
        <v>374</v>
      </c>
      <c r="D313" s="117" t="s">
        <v>374</v>
      </c>
      <c r="E313" s="117" t="s">
        <v>374</v>
      </c>
      <c r="F313" s="117" t="s">
        <v>374</v>
      </c>
      <c r="G313" s="117" t="s">
        <v>374</v>
      </c>
      <c r="H313" s="117" t="s">
        <v>374</v>
      </c>
      <c r="I313" s="117" t="s">
        <v>374</v>
      </c>
      <c r="J313" s="117" t="s">
        <v>374</v>
      </c>
      <c r="K313" s="117" t="s">
        <v>374</v>
      </c>
      <c r="L313" s="26">
        <f>'c-15'!C114</f>
        <v>1371</v>
      </c>
      <c r="M313" s="117" t="s">
        <v>374</v>
      </c>
      <c r="N313" s="118" t="s">
        <v>374</v>
      </c>
      <c r="O313" s="416" t="s">
        <v>374</v>
      </c>
      <c r="P313" s="65" t="s">
        <v>374</v>
      </c>
    </row>
    <row r="314" spans="1:16" ht="15.6">
      <c r="A314" s="113"/>
      <c r="B314" s="64"/>
      <c r="C314" s="117"/>
      <c r="D314" s="117"/>
      <c r="E314" s="117"/>
      <c r="F314" s="117"/>
      <c r="G314" s="117"/>
      <c r="H314" s="117"/>
      <c r="I314" s="117"/>
      <c r="J314" s="117"/>
      <c r="K314" s="117"/>
      <c r="L314" s="64"/>
      <c r="M314" s="117"/>
      <c r="N314" s="118"/>
      <c r="O314" s="65"/>
      <c r="P314" s="65"/>
    </row>
    <row r="315" spans="1:16" ht="15.6">
      <c r="A315" s="106" t="s">
        <v>783</v>
      </c>
      <c r="B315" s="62">
        <f>SUM(B317:B322)</f>
        <v>8558</v>
      </c>
      <c r="C315" s="97" t="s">
        <v>374</v>
      </c>
      <c r="D315" s="97" t="s">
        <v>374</v>
      </c>
      <c r="E315" s="97" t="s">
        <v>374</v>
      </c>
      <c r="F315" s="97" t="s">
        <v>374</v>
      </c>
      <c r="G315" s="97" t="s">
        <v>374</v>
      </c>
      <c r="H315" s="97" t="s">
        <v>374</v>
      </c>
      <c r="I315" s="97" t="s">
        <v>374</v>
      </c>
      <c r="J315" s="97" t="s">
        <v>374</v>
      </c>
      <c r="K315" s="97" t="s">
        <v>374</v>
      </c>
      <c r="L315" s="62">
        <f>SUM(L317:L322)</f>
        <v>4125</v>
      </c>
      <c r="M315" s="97" t="s">
        <v>374</v>
      </c>
      <c r="N315" s="98">
        <f>SUM(N317:N322)</f>
        <v>4433</v>
      </c>
      <c r="O315" s="112" t="s">
        <v>374</v>
      </c>
      <c r="P315" s="112" t="s">
        <v>374</v>
      </c>
    </row>
    <row r="316" spans="1:16" ht="15.6">
      <c r="A316" s="120"/>
      <c r="B316" s="64"/>
      <c r="C316" s="117"/>
      <c r="D316" s="117"/>
      <c r="E316" s="117"/>
      <c r="F316" s="117"/>
      <c r="G316" s="117"/>
      <c r="H316" s="117"/>
      <c r="I316" s="117"/>
      <c r="J316" s="117"/>
      <c r="K316" s="117"/>
      <c r="L316" s="64"/>
      <c r="M316" s="117"/>
      <c r="N316" s="118"/>
      <c r="O316" s="65"/>
      <c r="P316" s="65"/>
    </row>
    <row r="317" spans="1:16" ht="15.6">
      <c r="A317" s="120" t="s">
        <v>784</v>
      </c>
      <c r="B317" s="26">
        <f t="shared" ref="B317:B322" si="16">SUM(C317:P317)</f>
        <v>1703</v>
      </c>
      <c r="C317" s="117" t="s">
        <v>374</v>
      </c>
      <c r="D317" s="117" t="s">
        <v>374</v>
      </c>
      <c r="E317" s="117" t="s">
        <v>374</v>
      </c>
      <c r="F317" s="117" t="s">
        <v>374</v>
      </c>
      <c r="G317" s="117" t="s">
        <v>374</v>
      </c>
      <c r="H317" s="117" t="s">
        <v>374</v>
      </c>
      <c r="I317" s="117" t="s">
        <v>374</v>
      </c>
      <c r="J317" s="117" t="s">
        <v>374</v>
      </c>
      <c r="K317" s="117" t="s">
        <v>374</v>
      </c>
      <c r="L317" s="24">
        <f>'c-15'!C23</f>
        <v>751</v>
      </c>
      <c r="M317" s="117" t="s">
        <v>374</v>
      </c>
      <c r="N317" s="24">
        <f>'c-16'!C24</f>
        <v>952</v>
      </c>
      <c r="O317" s="117" t="s">
        <v>374</v>
      </c>
      <c r="P317" s="118" t="s">
        <v>374</v>
      </c>
    </row>
    <row r="318" spans="1:16" ht="15.6">
      <c r="A318" s="120" t="s">
        <v>785</v>
      </c>
      <c r="B318" s="26">
        <f t="shared" si="16"/>
        <v>949</v>
      </c>
      <c r="C318" s="117" t="s">
        <v>374</v>
      </c>
      <c r="D318" s="117" t="s">
        <v>374</v>
      </c>
      <c r="E318" s="117" t="s">
        <v>374</v>
      </c>
      <c r="F318" s="117" t="s">
        <v>374</v>
      </c>
      <c r="G318" s="117" t="s">
        <v>374</v>
      </c>
      <c r="H318" s="117" t="s">
        <v>374</v>
      </c>
      <c r="I318" s="117" t="s">
        <v>374</v>
      </c>
      <c r="J318" s="117" t="s">
        <v>374</v>
      </c>
      <c r="K318" s="117" t="s">
        <v>374</v>
      </c>
      <c r="L318" s="24">
        <f>'c-15'!C13</f>
        <v>583</v>
      </c>
      <c r="M318" s="117" t="s">
        <v>374</v>
      </c>
      <c r="N318" s="24">
        <f>'c-16'!C14</f>
        <v>366</v>
      </c>
      <c r="O318" s="65" t="s">
        <v>374</v>
      </c>
      <c r="P318" s="65" t="s">
        <v>374</v>
      </c>
    </row>
    <row r="319" spans="1:16" ht="15.6">
      <c r="A319" s="120" t="s">
        <v>786</v>
      </c>
      <c r="B319" s="26">
        <f t="shared" si="16"/>
        <v>1899</v>
      </c>
      <c r="C319" s="117" t="s">
        <v>374</v>
      </c>
      <c r="D319" s="117" t="s">
        <v>374</v>
      </c>
      <c r="E319" s="117" t="s">
        <v>374</v>
      </c>
      <c r="F319" s="117" t="s">
        <v>374</v>
      </c>
      <c r="G319" s="117" t="s">
        <v>374</v>
      </c>
      <c r="H319" s="117" t="s">
        <v>374</v>
      </c>
      <c r="I319" s="117" t="s">
        <v>374</v>
      </c>
      <c r="J319" s="117" t="s">
        <v>374</v>
      </c>
      <c r="K319" s="117" t="s">
        <v>374</v>
      </c>
      <c r="L319" s="24">
        <f>'c-15'!C56</f>
        <v>943</v>
      </c>
      <c r="M319" s="117" t="s">
        <v>374</v>
      </c>
      <c r="N319" s="24">
        <f>'c-16'!C55</f>
        <v>956</v>
      </c>
      <c r="O319" s="65" t="s">
        <v>374</v>
      </c>
      <c r="P319" s="65" t="s">
        <v>374</v>
      </c>
    </row>
    <row r="320" spans="1:16" ht="15.75" customHeight="1">
      <c r="A320" s="120" t="s">
        <v>516</v>
      </c>
      <c r="B320" s="26">
        <f t="shared" si="16"/>
        <v>1376</v>
      </c>
      <c r="C320" s="117" t="s">
        <v>374</v>
      </c>
      <c r="D320" s="117" t="s">
        <v>374</v>
      </c>
      <c r="E320" s="117" t="s">
        <v>374</v>
      </c>
      <c r="F320" s="117" t="s">
        <v>374</v>
      </c>
      <c r="G320" s="117" t="s">
        <v>374</v>
      </c>
      <c r="H320" s="117" t="s">
        <v>374</v>
      </c>
      <c r="I320" s="117" t="s">
        <v>374</v>
      </c>
      <c r="J320" s="117" t="s">
        <v>374</v>
      </c>
      <c r="K320" s="117" t="s">
        <v>374</v>
      </c>
      <c r="L320" s="24">
        <f>'c-15'!C67</f>
        <v>634</v>
      </c>
      <c r="M320" s="117" t="s">
        <v>374</v>
      </c>
      <c r="N320" s="24">
        <f>'c-16'!C63</f>
        <v>742</v>
      </c>
      <c r="O320" s="65" t="s">
        <v>374</v>
      </c>
      <c r="P320" s="65" t="s">
        <v>374</v>
      </c>
    </row>
    <row r="321" spans="1:16" ht="15.75" customHeight="1">
      <c r="A321" s="120" t="s">
        <v>517</v>
      </c>
      <c r="B321" s="26">
        <f t="shared" si="16"/>
        <v>1375</v>
      </c>
      <c r="C321" s="117" t="s">
        <v>374</v>
      </c>
      <c r="D321" s="117" t="s">
        <v>374</v>
      </c>
      <c r="E321" s="117" t="s">
        <v>374</v>
      </c>
      <c r="F321" s="117" t="s">
        <v>374</v>
      </c>
      <c r="G321" s="117" t="s">
        <v>374</v>
      </c>
      <c r="H321" s="117" t="s">
        <v>374</v>
      </c>
      <c r="I321" s="117" t="s">
        <v>374</v>
      </c>
      <c r="J321" s="117" t="s">
        <v>374</v>
      </c>
      <c r="K321" s="117" t="s">
        <v>374</v>
      </c>
      <c r="L321" s="24">
        <f>'c-15'!C68</f>
        <v>553</v>
      </c>
      <c r="M321" s="117" t="s">
        <v>374</v>
      </c>
      <c r="N321" s="24">
        <f>'c-16'!C67</f>
        <v>822</v>
      </c>
      <c r="O321" s="65" t="s">
        <v>374</v>
      </c>
      <c r="P321" s="65" t="s">
        <v>374</v>
      </c>
    </row>
    <row r="322" spans="1:16" ht="15.75" customHeight="1">
      <c r="A322" s="120" t="s">
        <v>518</v>
      </c>
      <c r="B322" s="26">
        <f t="shared" si="16"/>
        <v>1256</v>
      </c>
      <c r="C322" s="117" t="s">
        <v>374</v>
      </c>
      <c r="D322" s="117" t="s">
        <v>374</v>
      </c>
      <c r="E322" s="117" t="s">
        <v>374</v>
      </c>
      <c r="F322" s="117" t="s">
        <v>374</v>
      </c>
      <c r="G322" s="117" t="s">
        <v>374</v>
      </c>
      <c r="H322" s="117" t="s">
        <v>374</v>
      </c>
      <c r="I322" s="117" t="s">
        <v>374</v>
      </c>
      <c r="J322" s="117" t="s">
        <v>374</v>
      </c>
      <c r="K322" s="117" t="s">
        <v>374</v>
      </c>
      <c r="L322" s="24">
        <f>'c-15'!C116</f>
        <v>661</v>
      </c>
      <c r="M322" s="117" t="s">
        <v>374</v>
      </c>
      <c r="N322" s="24">
        <f>'c-16'!C113</f>
        <v>595</v>
      </c>
      <c r="O322" s="65" t="s">
        <v>374</v>
      </c>
      <c r="P322" s="65" t="s">
        <v>374</v>
      </c>
    </row>
    <row r="323" spans="1:16" s="91" customFormat="1" ht="15.75" customHeight="1">
      <c r="A323" s="113"/>
      <c r="B323" s="64"/>
      <c r="C323" s="117"/>
      <c r="D323" s="117"/>
      <c r="E323" s="117"/>
      <c r="F323" s="117"/>
      <c r="G323" s="117"/>
      <c r="H323" s="117"/>
      <c r="I323" s="117"/>
      <c r="J323" s="117"/>
      <c r="K323" s="117"/>
      <c r="L323" s="117"/>
      <c r="M323" s="117"/>
      <c r="N323" s="118"/>
      <c r="O323" s="65"/>
      <c r="P323" s="65"/>
    </row>
    <row r="324" spans="1:16" ht="15.75" customHeight="1">
      <c r="A324" s="106" t="s">
        <v>787</v>
      </c>
      <c r="B324" s="62">
        <f>SUM(B326:B330)</f>
        <v>16380</v>
      </c>
      <c r="C324" s="62">
        <f>SUM(C326:C330)</f>
        <v>961</v>
      </c>
      <c r="D324" s="62">
        <f>SUM(D326:D330)</f>
        <v>13705</v>
      </c>
      <c r="E324" s="97" t="s">
        <v>374</v>
      </c>
      <c r="F324" s="97" t="s">
        <v>374</v>
      </c>
      <c r="G324" s="97" t="s">
        <v>374</v>
      </c>
      <c r="H324" s="62">
        <f>SUM(H326:H330)</f>
        <v>1714</v>
      </c>
      <c r="I324" s="97" t="s">
        <v>374</v>
      </c>
      <c r="J324" s="97" t="s">
        <v>374</v>
      </c>
      <c r="K324" s="97" t="s">
        <v>374</v>
      </c>
      <c r="L324" s="97" t="s">
        <v>374</v>
      </c>
      <c r="M324" s="97" t="s">
        <v>374</v>
      </c>
      <c r="N324" s="98" t="s">
        <v>374</v>
      </c>
      <c r="O324" s="112" t="s">
        <v>374</v>
      </c>
      <c r="P324" s="112" t="s">
        <v>374</v>
      </c>
    </row>
    <row r="325" spans="1:16" ht="15.75" customHeight="1">
      <c r="A325" s="120"/>
      <c r="B325" s="64"/>
      <c r="C325" s="64"/>
      <c r="D325" s="117"/>
      <c r="E325" s="51"/>
      <c r="F325" s="51"/>
      <c r="G325" s="51"/>
      <c r="H325" s="117"/>
      <c r="I325" s="51"/>
      <c r="J325" s="51"/>
      <c r="K325" s="51"/>
      <c r="L325" s="117"/>
      <c r="M325" s="51"/>
      <c r="N325" s="21"/>
      <c r="O325" s="65"/>
      <c r="P325" s="65"/>
    </row>
    <row r="326" spans="1:16" ht="15.75" customHeight="1">
      <c r="A326" s="120" t="s">
        <v>892</v>
      </c>
      <c r="B326" s="26">
        <f>SUM(C326:P326)</f>
        <v>792</v>
      </c>
      <c r="C326" s="24">
        <f>'c-10'!C34</f>
        <v>426</v>
      </c>
      <c r="D326" s="121" t="s">
        <v>374</v>
      </c>
      <c r="E326" s="117" t="s">
        <v>374</v>
      </c>
      <c r="F326" s="117" t="s">
        <v>374</v>
      </c>
      <c r="G326" s="117" t="s">
        <v>374</v>
      </c>
      <c r="H326" s="24">
        <f>'c-17'!C29</f>
        <v>366</v>
      </c>
      <c r="I326" s="117" t="s">
        <v>374</v>
      </c>
      <c r="J326" s="117" t="s">
        <v>374</v>
      </c>
      <c r="K326" s="117" t="s">
        <v>374</v>
      </c>
      <c r="L326" s="117" t="s">
        <v>374</v>
      </c>
      <c r="M326" s="117" t="s">
        <v>374</v>
      </c>
      <c r="N326" s="118" t="s">
        <v>374</v>
      </c>
      <c r="O326" s="65" t="s">
        <v>374</v>
      </c>
      <c r="P326" s="65" t="s">
        <v>374</v>
      </c>
    </row>
    <row r="327" spans="1:16" ht="15.75" customHeight="1">
      <c r="A327" s="120" t="s">
        <v>788</v>
      </c>
      <c r="B327" s="26">
        <f>SUM(C327:P327)</f>
        <v>6756</v>
      </c>
      <c r="C327" s="24">
        <f>'c-10'!C123</f>
        <v>137</v>
      </c>
      <c r="D327" s="121">
        <f>'c-11'!C46</f>
        <v>6292</v>
      </c>
      <c r="E327" s="117" t="s">
        <v>374</v>
      </c>
      <c r="F327" s="117" t="s">
        <v>374</v>
      </c>
      <c r="G327" s="117" t="s">
        <v>374</v>
      </c>
      <c r="H327" s="24">
        <f>'c-17'!C118</f>
        <v>327</v>
      </c>
      <c r="I327" s="117" t="s">
        <v>374</v>
      </c>
      <c r="J327" s="117" t="s">
        <v>374</v>
      </c>
      <c r="K327" s="117" t="s">
        <v>374</v>
      </c>
      <c r="L327" s="117" t="s">
        <v>374</v>
      </c>
      <c r="M327" s="117" t="s">
        <v>374</v>
      </c>
      <c r="N327" s="118" t="s">
        <v>374</v>
      </c>
      <c r="O327" s="65" t="s">
        <v>374</v>
      </c>
      <c r="P327" s="65" t="s">
        <v>374</v>
      </c>
    </row>
    <row r="328" spans="1:16" ht="15.75" customHeight="1">
      <c r="A328" s="120" t="s">
        <v>320</v>
      </c>
      <c r="B328" s="26">
        <f>SUM(C328:P328)</f>
        <v>2855</v>
      </c>
      <c r="C328" s="24">
        <f>'c-10'!C52</f>
        <v>137</v>
      </c>
      <c r="D328" s="121">
        <f>'c-11'!C24</f>
        <v>2407</v>
      </c>
      <c r="E328" s="117" t="s">
        <v>374</v>
      </c>
      <c r="F328" s="117" t="s">
        <v>374</v>
      </c>
      <c r="G328" s="117" t="s">
        <v>374</v>
      </c>
      <c r="H328" s="24">
        <f>'c-17'!C46</f>
        <v>311</v>
      </c>
      <c r="I328" s="117" t="s">
        <v>374</v>
      </c>
      <c r="J328" s="117" t="s">
        <v>374</v>
      </c>
      <c r="K328" s="117" t="s">
        <v>374</v>
      </c>
      <c r="L328" s="117" t="s">
        <v>374</v>
      </c>
      <c r="M328" s="117" t="s">
        <v>374</v>
      </c>
      <c r="N328" s="118" t="s">
        <v>374</v>
      </c>
      <c r="O328" s="65" t="s">
        <v>374</v>
      </c>
      <c r="P328" s="65" t="s">
        <v>374</v>
      </c>
    </row>
    <row r="329" spans="1:16" ht="15.75" customHeight="1">
      <c r="A329" s="120" t="s">
        <v>789</v>
      </c>
      <c r="B329" s="26">
        <f>SUM(C329:P329)</f>
        <v>2426</v>
      </c>
      <c r="C329" s="24">
        <f>'c-10'!C61</f>
        <v>171</v>
      </c>
      <c r="D329" s="121">
        <f>'c-11'!C27</f>
        <v>2035</v>
      </c>
      <c r="E329" s="117" t="s">
        <v>374</v>
      </c>
      <c r="F329" s="117" t="s">
        <v>374</v>
      </c>
      <c r="G329" s="117" t="s">
        <v>374</v>
      </c>
      <c r="H329" s="24">
        <f>'c-17'!C56</f>
        <v>220</v>
      </c>
      <c r="I329" s="117" t="s">
        <v>374</v>
      </c>
      <c r="J329" s="117" t="s">
        <v>374</v>
      </c>
      <c r="K329" s="117" t="s">
        <v>374</v>
      </c>
      <c r="L329" s="117" t="s">
        <v>374</v>
      </c>
      <c r="M329" s="117" t="s">
        <v>374</v>
      </c>
      <c r="N329" s="118" t="s">
        <v>374</v>
      </c>
      <c r="O329" s="65" t="s">
        <v>374</v>
      </c>
      <c r="P329" s="65" t="s">
        <v>374</v>
      </c>
    </row>
    <row r="330" spans="1:16" ht="15.75" customHeight="1">
      <c r="A330" s="120" t="s">
        <v>790</v>
      </c>
      <c r="B330" s="26">
        <f>SUM(C330:P330)</f>
        <v>3551</v>
      </c>
      <c r="C330" s="24">
        <f>'c-10'!C144</f>
        <v>90</v>
      </c>
      <c r="D330" s="121">
        <f>'c-11'!C55</f>
        <v>2971</v>
      </c>
      <c r="E330" s="117" t="s">
        <v>374</v>
      </c>
      <c r="F330" s="117" t="s">
        <v>374</v>
      </c>
      <c r="G330" s="117" t="s">
        <v>374</v>
      </c>
      <c r="H330" s="24">
        <f>'c-17'!C139</f>
        <v>490</v>
      </c>
      <c r="I330" s="117" t="s">
        <v>374</v>
      </c>
      <c r="J330" s="117" t="s">
        <v>374</v>
      </c>
      <c r="K330" s="117" t="s">
        <v>374</v>
      </c>
      <c r="L330" s="117" t="s">
        <v>374</v>
      </c>
      <c r="M330" s="117" t="s">
        <v>374</v>
      </c>
      <c r="N330" s="118" t="s">
        <v>374</v>
      </c>
      <c r="O330" s="65" t="s">
        <v>374</v>
      </c>
      <c r="P330" s="65" t="s">
        <v>374</v>
      </c>
    </row>
    <row r="331" spans="1:16" s="91" customFormat="1" ht="15.75" customHeight="1">
      <c r="A331" s="120"/>
      <c r="B331" s="64"/>
      <c r="C331" s="64"/>
      <c r="D331" s="117"/>
      <c r="E331" s="117"/>
      <c r="F331" s="117"/>
      <c r="G331" s="117"/>
      <c r="H331" s="117"/>
      <c r="I331" s="117"/>
      <c r="J331" s="117"/>
      <c r="K331" s="117"/>
      <c r="L331" s="117"/>
      <c r="M331" s="117"/>
      <c r="N331" s="118"/>
      <c r="O331" s="65"/>
      <c r="P331" s="65"/>
    </row>
    <row r="332" spans="1:16" ht="15.75" customHeight="1">
      <c r="A332" s="106" t="s">
        <v>791</v>
      </c>
      <c r="B332" s="62">
        <f>SUM(B334:B350,B359:B402)</f>
        <v>73080</v>
      </c>
      <c r="C332" s="62">
        <f>SUM(C334:C350,C359:C402)</f>
        <v>2827</v>
      </c>
      <c r="D332" s="62">
        <f>SUM(D334:D350,D359:D402)</f>
        <v>7839</v>
      </c>
      <c r="E332" s="97" t="s">
        <v>374</v>
      </c>
      <c r="F332" s="97" t="s">
        <v>374</v>
      </c>
      <c r="G332" s="97" t="s">
        <v>374</v>
      </c>
      <c r="H332" s="62">
        <f>SUM(H334:H350,H359:H402)</f>
        <v>4443</v>
      </c>
      <c r="I332" s="97" t="s">
        <v>374</v>
      </c>
      <c r="J332" s="62">
        <f>SUM(J334:J350,J359:J402)</f>
        <v>19583</v>
      </c>
      <c r="K332" s="97">
        <f>SUM(K334:K350,K359:K402)</f>
        <v>11907</v>
      </c>
      <c r="L332" s="62">
        <f>SUM(L334:L350,L359:L402)</f>
        <v>15138</v>
      </c>
      <c r="M332" s="98" t="s">
        <v>374</v>
      </c>
      <c r="N332" s="62">
        <f>SUM(N334:N350,N359:N402)</f>
        <v>11343</v>
      </c>
      <c r="O332" s="112" t="s">
        <v>374</v>
      </c>
      <c r="P332" s="112" t="s">
        <v>374</v>
      </c>
    </row>
    <row r="333" spans="1:16" ht="15.75" customHeight="1">
      <c r="A333" s="120"/>
      <c r="B333" s="64"/>
      <c r="C333" s="117"/>
      <c r="D333" s="117"/>
      <c r="E333" s="51"/>
      <c r="F333" s="51"/>
      <c r="G333" s="117"/>
      <c r="H333" s="118"/>
      <c r="I333" s="26"/>
      <c r="J333" s="117"/>
      <c r="K333" s="117"/>
      <c r="L333" s="117"/>
      <c r="M333" s="51"/>
      <c r="N333" s="118"/>
      <c r="O333" s="65"/>
      <c r="P333" s="65"/>
    </row>
    <row r="334" spans="1:16" ht="15.75" customHeight="1">
      <c r="A334" s="120" t="s">
        <v>893</v>
      </c>
      <c r="B334" s="26">
        <f t="shared" ref="B334:B350" si="17">SUM(C334:P334)</f>
        <v>1127</v>
      </c>
      <c r="C334" s="24">
        <f>'c-10'!C35</f>
        <v>133</v>
      </c>
      <c r="D334" s="121" t="s">
        <v>374</v>
      </c>
      <c r="E334" s="117" t="s">
        <v>374</v>
      </c>
      <c r="F334" s="117" t="s">
        <v>374</v>
      </c>
      <c r="G334" s="117" t="s">
        <v>374</v>
      </c>
      <c r="H334" s="65">
        <f>'c-17'!C30</f>
        <v>94</v>
      </c>
      <c r="I334" s="64" t="s">
        <v>374</v>
      </c>
      <c r="J334" s="26">
        <f>'c-23'!C25</f>
        <v>449</v>
      </c>
      <c r="K334" s="117" t="s">
        <v>374</v>
      </c>
      <c r="L334" s="26">
        <f>'c-15'!C24</f>
        <v>451</v>
      </c>
      <c r="M334" s="117" t="s">
        <v>374</v>
      </c>
      <c r="N334" s="118" t="s">
        <v>374</v>
      </c>
      <c r="O334" s="65" t="s">
        <v>374</v>
      </c>
      <c r="P334" s="65" t="s">
        <v>374</v>
      </c>
    </row>
    <row r="335" spans="1:16" ht="15.75" customHeight="1">
      <c r="A335" s="120" t="s">
        <v>792</v>
      </c>
      <c r="B335" s="26">
        <f t="shared" si="17"/>
        <v>765</v>
      </c>
      <c r="C335" s="24">
        <f>'c-10'!C36</f>
        <v>116</v>
      </c>
      <c r="D335" s="121" t="s">
        <v>374</v>
      </c>
      <c r="E335" s="117" t="s">
        <v>374</v>
      </c>
      <c r="F335" s="117" t="s">
        <v>374</v>
      </c>
      <c r="G335" s="117" t="s">
        <v>374</v>
      </c>
      <c r="H335" s="65">
        <f>'c-17'!C31</f>
        <v>46</v>
      </c>
      <c r="I335" s="64" t="s">
        <v>374</v>
      </c>
      <c r="J335" s="26">
        <f>'c-23'!C26</f>
        <v>319</v>
      </c>
      <c r="K335" s="117" t="s">
        <v>374</v>
      </c>
      <c r="L335" s="26">
        <f>'c-15'!C25</f>
        <v>284</v>
      </c>
      <c r="M335" s="117" t="s">
        <v>374</v>
      </c>
      <c r="N335" s="118" t="s">
        <v>374</v>
      </c>
      <c r="O335" s="65" t="s">
        <v>374</v>
      </c>
      <c r="P335" s="65" t="s">
        <v>374</v>
      </c>
    </row>
    <row r="336" spans="1:16" ht="15.75" customHeight="1">
      <c r="A336" s="120" t="s">
        <v>793</v>
      </c>
      <c r="B336" s="26">
        <f t="shared" si="17"/>
        <v>1340</v>
      </c>
      <c r="C336" s="24">
        <f>'c-10'!C37</f>
        <v>118</v>
      </c>
      <c r="D336" s="121" t="s">
        <v>374</v>
      </c>
      <c r="E336" s="117" t="s">
        <v>374</v>
      </c>
      <c r="F336" s="117" t="s">
        <v>374</v>
      </c>
      <c r="G336" s="117" t="s">
        <v>374</v>
      </c>
      <c r="H336" s="65">
        <f>'c-17'!C32</f>
        <v>49</v>
      </c>
      <c r="I336" s="64" t="s">
        <v>374</v>
      </c>
      <c r="J336" s="26">
        <f>'c-23'!C27</f>
        <v>451</v>
      </c>
      <c r="K336" s="117" t="s">
        <v>374</v>
      </c>
      <c r="L336" s="26">
        <f>'c-15'!C26</f>
        <v>722</v>
      </c>
      <c r="M336" s="117" t="s">
        <v>374</v>
      </c>
      <c r="N336" s="118" t="s">
        <v>374</v>
      </c>
      <c r="O336" s="65" t="s">
        <v>374</v>
      </c>
      <c r="P336" s="65" t="s">
        <v>374</v>
      </c>
    </row>
    <row r="337" spans="1:16" ht="15.75" customHeight="1">
      <c r="A337" s="120" t="s">
        <v>794</v>
      </c>
      <c r="B337" s="26">
        <f t="shared" si="17"/>
        <v>1784</v>
      </c>
      <c r="C337" s="24">
        <f>'c-10'!C38</f>
        <v>101</v>
      </c>
      <c r="D337" s="121" t="s">
        <v>374</v>
      </c>
      <c r="E337" s="117" t="s">
        <v>374</v>
      </c>
      <c r="F337" s="117" t="s">
        <v>374</v>
      </c>
      <c r="G337" s="117" t="s">
        <v>374</v>
      </c>
      <c r="H337" s="65">
        <f>'c-17'!C33</f>
        <v>38</v>
      </c>
      <c r="I337" s="64" t="s">
        <v>374</v>
      </c>
      <c r="J337" s="26">
        <f>'c-23'!C28</f>
        <v>488</v>
      </c>
      <c r="K337" s="117" t="s">
        <v>374</v>
      </c>
      <c r="L337" s="26">
        <f>'c-15'!C28</f>
        <v>512</v>
      </c>
      <c r="M337" s="117" t="s">
        <v>374</v>
      </c>
      <c r="N337" s="65">
        <f>'c-16'!C26</f>
        <v>645</v>
      </c>
      <c r="O337" s="65" t="s">
        <v>374</v>
      </c>
      <c r="P337" s="65" t="s">
        <v>374</v>
      </c>
    </row>
    <row r="338" spans="1:16" ht="15.75" customHeight="1">
      <c r="A338" s="120" t="s">
        <v>795</v>
      </c>
      <c r="B338" s="26">
        <f t="shared" si="17"/>
        <v>553</v>
      </c>
      <c r="C338" s="24">
        <f>'c-10'!C39</f>
        <v>19</v>
      </c>
      <c r="D338" s="121" t="s">
        <v>374</v>
      </c>
      <c r="E338" s="117" t="s">
        <v>374</v>
      </c>
      <c r="F338" s="117" t="s">
        <v>374</v>
      </c>
      <c r="G338" s="117" t="s">
        <v>374</v>
      </c>
      <c r="H338" s="65">
        <f>'c-17'!C34</f>
        <v>10</v>
      </c>
      <c r="I338" s="64" t="s">
        <v>374</v>
      </c>
      <c r="J338" s="26">
        <f>'c-23'!C29</f>
        <v>165</v>
      </c>
      <c r="K338" s="51">
        <f>'c-24'!C25</f>
        <v>60</v>
      </c>
      <c r="L338" s="26">
        <f>'c-15'!C29</f>
        <v>135</v>
      </c>
      <c r="M338" s="117" t="s">
        <v>374</v>
      </c>
      <c r="N338" s="65">
        <f>'c-16'!C27</f>
        <v>164</v>
      </c>
      <c r="O338" s="65" t="s">
        <v>374</v>
      </c>
      <c r="P338" s="65" t="s">
        <v>374</v>
      </c>
    </row>
    <row r="339" spans="1:16" ht="15.75" customHeight="1">
      <c r="A339" s="120" t="s">
        <v>796</v>
      </c>
      <c r="B339" s="26">
        <f t="shared" si="17"/>
        <v>928</v>
      </c>
      <c r="C339" s="24">
        <f>'c-10'!C25</f>
        <v>129</v>
      </c>
      <c r="D339" s="121" t="s">
        <v>374</v>
      </c>
      <c r="E339" s="117" t="s">
        <v>374</v>
      </c>
      <c r="F339" s="117" t="s">
        <v>374</v>
      </c>
      <c r="G339" s="117" t="s">
        <v>374</v>
      </c>
      <c r="H339" s="65">
        <f>'c-17'!C19</f>
        <v>123</v>
      </c>
      <c r="I339" s="64" t="s">
        <v>374</v>
      </c>
      <c r="J339" s="26">
        <f>'c-23'!C13</f>
        <v>676</v>
      </c>
      <c r="K339" s="117" t="s">
        <v>374</v>
      </c>
      <c r="L339" s="117" t="s">
        <v>374</v>
      </c>
      <c r="M339" s="117" t="s">
        <v>374</v>
      </c>
      <c r="N339" s="118" t="s">
        <v>374</v>
      </c>
      <c r="O339" s="65" t="s">
        <v>374</v>
      </c>
      <c r="P339" s="65" t="s">
        <v>374</v>
      </c>
    </row>
    <row r="340" spans="1:16" ht="15.75" customHeight="1">
      <c r="A340" s="120" t="s">
        <v>797</v>
      </c>
      <c r="B340" s="26">
        <f t="shared" si="17"/>
        <v>879</v>
      </c>
      <c r="C340" s="24">
        <f>'c-10'!C23</f>
        <v>207</v>
      </c>
      <c r="D340" s="121" t="s">
        <v>374</v>
      </c>
      <c r="E340" s="117" t="s">
        <v>374</v>
      </c>
      <c r="F340" s="117" t="s">
        <v>374</v>
      </c>
      <c r="G340" s="117" t="s">
        <v>374</v>
      </c>
      <c r="H340" s="65">
        <f>'c-17'!C14</f>
        <v>145</v>
      </c>
      <c r="I340" s="64" t="s">
        <v>374</v>
      </c>
      <c r="J340" s="26">
        <f>'c-23'!C14</f>
        <v>527</v>
      </c>
      <c r="K340" s="117" t="s">
        <v>374</v>
      </c>
      <c r="L340" s="117" t="s">
        <v>374</v>
      </c>
      <c r="M340" s="117" t="s">
        <v>374</v>
      </c>
      <c r="N340" s="118" t="s">
        <v>374</v>
      </c>
      <c r="O340" s="65" t="s">
        <v>374</v>
      </c>
      <c r="P340" s="65" t="s">
        <v>374</v>
      </c>
    </row>
    <row r="341" spans="1:16" ht="15.75" customHeight="1">
      <c r="A341" s="120" t="s">
        <v>798</v>
      </c>
      <c r="B341" s="26">
        <f t="shared" si="17"/>
        <v>3124</v>
      </c>
      <c r="C341" s="24">
        <f>'c-10'!C24</f>
        <v>142</v>
      </c>
      <c r="D341" s="121" t="s">
        <v>374</v>
      </c>
      <c r="E341" s="64" t="s">
        <v>374</v>
      </c>
      <c r="F341" s="117" t="s">
        <v>374</v>
      </c>
      <c r="G341" s="117" t="s">
        <v>374</v>
      </c>
      <c r="H341" s="65">
        <f>'c-17'!C15</f>
        <v>140</v>
      </c>
      <c r="I341" s="64" t="s">
        <v>374</v>
      </c>
      <c r="J341" s="26">
        <f>'c-23'!C15</f>
        <v>475</v>
      </c>
      <c r="K341" s="51">
        <f>'c-24'!C13</f>
        <v>1633</v>
      </c>
      <c r="L341" s="26">
        <f>'c-15'!C14</f>
        <v>295</v>
      </c>
      <c r="M341" s="117" t="s">
        <v>374</v>
      </c>
      <c r="N341" s="65">
        <f>'c-16'!C17</f>
        <v>439</v>
      </c>
      <c r="O341" s="65" t="s">
        <v>374</v>
      </c>
      <c r="P341" s="65" t="s">
        <v>374</v>
      </c>
    </row>
    <row r="342" spans="1:16" ht="15.75" customHeight="1">
      <c r="A342" s="120" t="s">
        <v>799</v>
      </c>
      <c r="B342" s="26">
        <f t="shared" si="17"/>
        <v>719</v>
      </c>
      <c r="C342" s="24">
        <f>'c-10'!C20</f>
        <v>45</v>
      </c>
      <c r="D342" s="121" t="s">
        <v>374</v>
      </c>
      <c r="E342" s="64" t="s">
        <v>374</v>
      </c>
      <c r="F342" s="117" t="s">
        <v>374</v>
      </c>
      <c r="G342" s="117" t="s">
        <v>374</v>
      </c>
      <c r="H342" s="65">
        <f>'c-17'!C16</f>
        <v>74</v>
      </c>
      <c r="I342" s="64" t="s">
        <v>374</v>
      </c>
      <c r="J342" s="26">
        <f>'c-23'!C16</f>
        <v>147</v>
      </c>
      <c r="K342" s="51">
        <f>'c-24'!C14</f>
        <v>225</v>
      </c>
      <c r="L342" s="26">
        <f>'c-15'!C15</f>
        <v>116</v>
      </c>
      <c r="M342" s="117" t="s">
        <v>374</v>
      </c>
      <c r="N342" s="65">
        <f>'c-16'!C15</f>
        <v>112</v>
      </c>
      <c r="O342" s="65" t="s">
        <v>374</v>
      </c>
      <c r="P342" s="65" t="s">
        <v>374</v>
      </c>
    </row>
    <row r="343" spans="1:16" ht="15.75" customHeight="1">
      <c r="A343" s="120" t="s">
        <v>800</v>
      </c>
      <c r="B343" s="26">
        <f t="shared" si="17"/>
        <v>1721</v>
      </c>
      <c r="C343" s="24">
        <f>'c-10'!C21</f>
        <v>58</v>
      </c>
      <c r="D343" s="121" t="s">
        <v>374</v>
      </c>
      <c r="E343" s="64" t="s">
        <v>374</v>
      </c>
      <c r="F343" s="117" t="s">
        <v>374</v>
      </c>
      <c r="G343" s="117" t="s">
        <v>374</v>
      </c>
      <c r="H343" s="65">
        <f>'c-17'!C17</f>
        <v>123</v>
      </c>
      <c r="I343" s="64" t="s">
        <v>374</v>
      </c>
      <c r="J343" s="26">
        <f>'c-23'!C17</f>
        <v>531</v>
      </c>
      <c r="K343" s="51">
        <f>'c-24'!C15</f>
        <v>387</v>
      </c>
      <c r="L343" s="26">
        <f>'c-15'!C16</f>
        <v>622</v>
      </c>
      <c r="M343" s="117" t="s">
        <v>374</v>
      </c>
      <c r="N343" s="66" t="s">
        <v>374</v>
      </c>
      <c r="O343" s="65" t="s">
        <v>374</v>
      </c>
      <c r="P343" s="65" t="s">
        <v>374</v>
      </c>
    </row>
    <row r="344" spans="1:16" ht="15.75" customHeight="1">
      <c r="A344" s="120" t="s">
        <v>801</v>
      </c>
      <c r="B344" s="26">
        <f t="shared" si="17"/>
        <v>218</v>
      </c>
      <c r="C344" s="24">
        <f>'c-10'!C22</f>
        <v>5</v>
      </c>
      <c r="D344" s="121" t="s">
        <v>374</v>
      </c>
      <c r="E344" s="64" t="s">
        <v>374</v>
      </c>
      <c r="F344" s="117" t="s">
        <v>374</v>
      </c>
      <c r="G344" s="117" t="s">
        <v>374</v>
      </c>
      <c r="H344" s="65">
        <f>'c-17'!C18</f>
        <v>10</v>
      </c>
      <c r="I344" s="64" t="s">
        <v>374</v>
      </c>
      <c r="J344" s="26">
        <f>'c-23'!C18</f>
        <v>100</v>
      </c>
      <c r="K344" s="51">
        <f>'c-24'!C16</f>
        <v>24</v>
      </c>
      <c r="L344" s="26">
        <f>'c-15'!C17</f>
        <v>24</v>
      </c>
      <c r="M344" s="117" t="s">
        <v>374</v>
      </c>
      <c r="N344" s="65">
        <f>'c-16'!C16</f>
        <v>55</v>
      </c>
      <c r="O344" s="65" t="s">
        <v>374</v>
      </c>
      <c r="P344" s="65" t="s">
        <v>374</v>
      </c>
    </row>
    <row r="345" spans="1:16" ht="15.75" customHeight="1">
      <c r="A345" s="120" t="s">
        <v>802</v>
      </c>
      <c r="B345" s="26">
        <f t="shared" si="17"/>
        <v>932</v>
      </c>
      <c r="C345" s="24">
        <f>'c-10'!C77</f>
        <v>29</v>
      </c>
      <c r="D345" s="121" t="s">
        <v>374</v>
      </c>
      <c r="E345" s="64" t="s">
        <v>374</v>
      </c>
      <c r="F345" s="117" t="s">
        <v>374</v>
      </c>
      <c r="G345" s="117" t="s">
        <v>374</v>
      </c>
      <c r="H345" s="65">
        <f>'c-17'!C72</f>
        <v>46</v>
      </c>
      <c r="I345" s="64" t="s">
        <v>374</v>
      </c>
      <c r="J345" s="26">
        <f>'c-23'!C60</f>
        <v>346</v>
      </c>
      <c r="K345" s="51">
        <f>'c-24'!C50</f>
        <v>194</v>
      </c>
      <c r="L345" s="26">
        <f>'c-15'!C61</f>
        <v>165</v>
      </c>
      <c r="M345" s="117" t="s">
        <v>374</v>
      </c>
      <c r="N345" s="65">
        <f>'c-16'!C56</f>
        <v>152</v>
      </c>
      <c r="O345" s="65" t="s">
        <v>374</v>
      </c>
      <c r="P345" s="65" t="s">
        <v>374</v>
      </c>
    </row>
    <row r="346" spans="1:16" ht="15.75" customHeight="1">
      <c r="A346" s="120" t="s">
        <v>803</v>
      </c>
      <c r="B346" s="26">
        <f t="shared" si="17"/>
        <v>7908</v>
      </c>
      <c r="C346" s="24">
        <f>'c-10'!C62</f>
        <v>88</v>
      </c>
      <c r="D346" s="121">
        <f>'c-11'!C28</f>
        <v>6457</v>
      </c>
      <c r="E346" s="64" t="s">
        <v>374</v>
      </c>
      <c r="F346" s="117" t="s">
        <v>374</v>
      </c>
      <c r="G346" s="117" t="s">
        <v>374</v>
      </c>
      <c r="H346" s="65">
        <f>'c-17'!C57</f>
        <v>410</v>
      </c>
      <c r="I346" s="64" t="s">
        <v>374</v>
      </c>
      <c r="J346" s="26">
        <f>'c-23'!C47</f>
        <v>406</v>
      </c>
      <c r="K346" s="117" t="s">
        <v>374</v>
      </c>
      <c r="L346" s="26">
        <f>'c-15'!C46</f>
        <v>547</v>
      </c>
      <c r="M346" s="117" t="s">
        <v>374</v>
      </c>
      <c r="N346" s="66" t="s">
        <v>374</v>
      </c>
      <c r="O346" s="65" t="s">
        <v>374</v>
      </c>
      <c r="P346" s="65" t="s">
        <v>374</v>
      </c>
    </row>
    <row r="347" spans="1:16" ht="15.75" customHeight="1">
      <c r="A347" s="120" t="s">
        <v>1018</v>
      </c>
      <c r="B347" s="26">
        <f t="shared" si="17"/>
        <v>525</v>
      </c>
      <c r="C347" s="24">
        <f>'c-10'!C63</f>
        <v>23</v>
      </c>
      <c r="D347" s="121" t="s">
        <v>374</v>
      </c>
      <c r="E347" s="64" t="s">
        <v>374</v>
      </c>
      <c r="F347" s="117" t="s">
        <v>374</v>
      </c>
      <c r="G347" s="117" t="s">
        <v>374</v>
      </c>
      <c r="H347" s="65">
        <f>'c-17'!C58</f>
        <v>29</v>
      </c>
      <c r="I347" s="64" t="s">
        <v>374</v>
      </c>
      <c r="J347" s="26">
        <f>'c-23'!C48</f>
        <v>99</v>
      </c>
      <c r="K347" s="51">
        <f>'c-24'!C43</f>
        <v>198</v>
      </c>
      <c r="L347" s="26">
        <f>'c-15'!C47</f>
        <v>82</v>
      </c>
      <c r="M347" s="117" t="s">
        <v>374</v>
      </c>
      <c r="N347" s="65">
        <f>'c-16'!C47</f>
        <v>94</v>
      </c>
      <c r="O347" s="65" t="s">
        <v>374</v>
      </c>
      <c r="P347" s="65" t="s">
        <v>374</v>
      </c>
    </row>
    <row r="348" spans="1:16" ht="15.75" customHeight="1">
      <c r="A348" s="120" t="s">
        <v>804</v>
      </c>
      <c r="B348" s="26">
        <f t="shared" si="17"/>
        <v>909</v>
      </c>
      <c r="C348" s="24">
        <f>'c-10'!C44</f>
        <v>17</v>
      </c>
      <c r="D348" s="121" t="s">
        <v>374</v>
      </c>
      <c r="E348" s="64" t="s">
        <v>374</v>
      </c>
      <c r="F348" s="117" t="s">
        <v>374</v>
      </c>
      <c r="G348" s="117" t="s">
        <v>374</v>
      </c>
      <c r="H348" s="65">
        <f>'c-17'!C39</f>
        <v>22</v>
      </c>
      <c r="I348" s="64" t="s">
        <v>374</v>
      </c>
      <c r="J348" s="26">
        <f>'c-23'!C33</f>
        <v>193</v>
      </c>
      <c r="K348" s="51">
        <f>'c-24'!C30</f>
        <v>211</v>
      </c>
      <c r="L348" s="26">
        <f>'c-15'!C33</f>
        <v>176</v>
      </c>
      <c r="M348" s="117" t="s">
        <v>374</v>
      </c>
      <c r="N348" s="65">
        <f>'c-16'!C31</f>
        <v>290</v>
      </c>
      <c r="O348" s="65" t="s">
        <v>374</v>
      </c>
      <c r="P348" s="65" t="s">
        <v>374</v>
      </c>
    </row>
    <row r="349" spans="1:16" ht="15.75" customHeight="1">
      <c r="A349" s="120" t="s">
        <v>805</v>
      </c>
      <c r="B349" s="26">
        <f t="shared" si="17"/>
        <v>514</v>
      </c>
      <c r="C349" s="24">
        <f>'c-10'!C64</f>
        <v>26</v>
      </c>
      <c r="D349" s="121" t="s">
        <v>374</v>
      </c>
      <c r="E349" s="117" t="s">
        <v>374</v>
      </c>
      <c r="F349" s="117" t="s">
        <v>374</v>
      </c>
      <c r="G349" s="117" t="s">
        <v>374</v>
      </c>
      <c r="H349" s="65">
        <f>'c-17'!C59</f>
        <v>28</v>
      </c>
      <c r="I349" s="64" t="s">
        <v>374</v>
      </c>
      <c r="J349" s="26">
        <f>'c-23'!C49</f>
        <v>181</v>
      </c>
      <c r="K349" s="51" t="s">
        <v>374</v>
      </c>
      <c r="L349" s="26">
        <f>'c-15'!C48</f>
        <v>138</v>
      </c>
      <c r="M349" s="117" t="s">
        <v>374</v>
      </c>
      <c r="N349" s="65">
        <f>'c-16'!C48</f>
        <v>141</v>
      </c>
      <c r="O349" s="65" t="s">
        <v>374</v>
      </c>
      <c r="P349" s="65" t="s">
        <v>374</v>
      </c>
    </row>
    <row r="350" spans="1:16" ht="15.75" customHeight="1">
      <c r="A350" s="116" t="s">
        <v>806</v>
      </c>
      <c r="B350" s="26">
        <f t="shared" si="17"/>
        <v>1387</v>
      </c>
      <c r="C350" s="24">
        <f>'c-10'!C65</f>
        <v>59</v>
      </c>
      <c r="D350" s="24" t="s">
        <v>374</v>
      </c>
      <c r="E350" s="66" t="s">
        <v>374</v>
      </c>
      <c r="F350" s="66" t="s">
        <v>374</v>
      </c>
      <c r="G350" s="66" t="s">
        <v>374</v>
      </c>
      <c r="H350" s="65">
        <f>'c-17'!C60</f>
        <v>95</v>
      </c>
      <c r="I350" s="66" t="s">
        <v>374</v>
      </c>
      <c r="J350" s="26">
        <f>'c-23'!C50</f>
        <v>416</v>
      </c>
      <c r="K350" s="118" t="s">
        <v>374</v>
      </c>
      <c r="L350" s="65">
        <f>'c-15'!C51</f>
        <v>401</v>
      </c>
      <c r="M350" s="66" t="s">
        <v>374</v>
      </c>
      <c r="N350" s="65">
        <f>'c-16'!C49</f>
        <v>416</v>
      </c>
      <c r="O350" s="65" t="s">
        <v>374</v>
      </c>
      <c r="P350" s="65" t="s">
        <v>374</v>
      </c>
    </row>
    <row r="351" spans="1:16" ht="15.75" customHeight="1">
      <c r="A351" s="143"/>
      <c r="B351" s="71"/>
      <c r="C351" s="136"/>
      <c r="D351" s="136"/>
      <c r="E351" s="105"/>
      <c r="F351" s="105"/>
      <c r="G351" s="105"/>
      <c r="H351" s="71"/>
      <c r="I351" s="105"/>
      <c r="J351" s="124"/>
      <c r="K351" s="137"/>
      <c r="L351" s="71"/>
      <c r="M351" s="105"/>
      <c r="N351" s="71"/>
      <c r="O351" s="71"/>
      <c r="P351" s="71"/>
    </row>
    <row r="352" spans="1:16" ht="15.75" customHeight="1">
      <c r="A352" s="138"/>
      <c r="B352" s="125"/>
      <c r="C352" s="139"/>
      <c r="D352" s="139"/>
      <c r="E352" s="125"/>
      <c r="F352" s="125"/>
      <c r="G352" s="125"/>
      <c r="H352" s="139"/>
      <c r="I352" s="125"/>
      <c r="J352" s="139"/>
      <c r="K352" s="125"/>
      <c r="L352" s="139"/>
      <c r="M352" s="125"/>
      <c r="N352" s="139"/>
      <c r="O352" s="94"/>
      <c r="P352" s="94"/>
    </row>
    <row r="353" spans="1:16" ht="15.75" customHeight="1">
      <c r="A353" s="138"/>
      <c r="B353" s="125"/>
      <c r="C353" s="139"/>
      <c r="D353" s="139"/>
      <c r="E353" s="125"/>
      <c r="F353" s="125"/>
      <c r="G353" s="125"/>
      <c r="H353" s="139"/>
      <c r="I353" s="125"/>
      <c r="J353" s="139"/>
      <c r="K353" s="125"/>
      <c r="L353" s="139"/>
      <c r="M353" s="125"/>
      <c r="N353" s="139"/>
      <c r="O353" s="94"/>
      <c r="P353" s="94"/>
    </row>
    <row r="354" spans="1:16" ht="15.75" customHeight="1">
      <c r="A354" s="93" t="s">
        <v>1039</v>
      </c>
      <c r="B354" s="146"/>
      <c r="C354" s="126"/>
      <c r="D354" s="126"/>
      <c r="E354" s="126"/>
      <c r="F354" s="126"/>
      <c r="G354" s="126"/>
      <c r="H354" s="126"/>
      <c r="I354" s="126"/>
      <c r="J354" s="126"/>
      <c r="K354" s="126"/>
      <c r="L354" s="126"/>
      <c r="M354" s="126"/>
      <c r="N354" s="126"/>
      <c r="O354" s="127"/>
      <c r="P354" s="127"/>
    </row>
    <row r="355" spans="1:16" ht="15.75" customHeight="1">
      <c r="A355" s="128"/>
      <c r="B355" s="96"/>
      <c r="C355" s="454" t="s">
        <v>222</v>
      </c>
      <c r="D355" s="454"/>
      <c r="E355" s="454"/>
      <c r="F355" s="454"/>
      <c r="G355" s="454"/>
      <c r="H355" s="454"/>
      <c r="I355" s="454"/>
      <c r="J355" s="454"/>
      <c r="K355" s="454"/>
      <c r="L355" s="454"/>
      <c r="M355" s="454"/>
      <c r="N355" s="454"/>
      <c r="O355" s="454"/>
      <c r="P355" s="454"/>
    </row>
    <row r="356" spans="1:16" ht="15.75" customHeight="1">
      <c r="A356" s="58" t="s">
        <v>359</v>
      </c>
      <c r="B356" s="97" t="s">
        <v>221</v>
      </c>
      <c r="C356" s="97" t="s">
        <v>333</v>
      </c>
      <c r="D356" s="97" t="s">
        <v>360</v>
      </c>
      <c r="E356" s="97" t="s">
        <v>361</v>
      </c>
      <c r="F356" s="97" t="s">
        <v>228</v>
      </c>
      <c r="G356" s="97" t="s">
        <v>362</v>
      </c>
      <c r="H356" s="97" t="s">
        <v>231</v>
      </c>
      <c r="I356" s="97" t="s">
        <v>232</v>
      </c>
      <c r="J356" s="97" t="s">
        <v>363</v>
      </c>
      <c r="K356" s="97" t="s">
        <v>235</v>
      </c>
      <c r="L356" s="97" t="s">
        <v>364</v>
      </c>
      <c r="M356" s="97" t="s">
        <v>365</v>
      </c>
      <c r="N356" s="98" t="s">
        <v>366</v>
      </c>
      <c r="O356" s="63" t="s">
        <v>367</v>
      </c>
      <c r="P356" s="63" t="s">
        <v>368</v>
      </c>
    </row>
    <row r="357" spans="1:16" ht="15.75" customHeight="1">
      <c r="A357" s="129"/>
      <c r="B357" s="101"/>
      <c r="C357" s="101"/>
      <c r="D357" s="101"/>
      <c r="E357" s="102" t="s">
        <v>369</v>
      </c>
      <c r="F357" s="102"/>
      <c r="G357" s="102"/>
      <c r="H357" s="101"/>
      <c r="I357" s="102"/>
      <c r="J357" s="102" t="s">
        <v>370</v>
      </c>
      <c r="K357" s="101"/>
      <c r="L357" s="102" t="s">
        <v>371</v>
      </c>
      <c r="M357" s="102" t="s">
        <v>372</v>
      </c>
      <c r="N357" s="103" t="s">
        <v>373</v>
      </c>
      <c r="O357" s="104" t="s">
        <v>370</v>
      </c>
      <c r="P357" s="105"/>
    </row>
    <row r="358" spans="1:16" ht="15.75" customHeight="1">
      <c r="A358" s="120"/>
      <c r="B358" s="64"/>
      <c r="C358" s="24"/>
      <c r="D358" s="121"/>
      <c r="E358" s="117"/>
      <c r="F358" s="117"/>
      <c r="G358" s="117"/>
      <c r="H358" s="24"/>
      <c r="I358" s="117"/>
      <c r="J358" s="24"/>
      <c r="K358" s="66"/>
      <c r="L358" s="150"/>
      <c r="M358" s="117"/>
      <c r="N358" s="24"/>
      <c r="O358" s="65"/>
      <c r="P358" s="65"/>
    </row>
    <row r="359" spans="1:16" ht="15.75" customHeight="1">
      <c r="A359" s="120" t="s">
        <v>807</v>
      </c>
      <c r="B359" s="26">
        <f t="shared" ref="B359:B402" si="18">SUM(C359:P359)</f>
        <v>938</v>
      </c>
      <c r="C359" s="134">
        <f>'c-10'!C66</f>
        <v>40</v>
      </c>
      <c r="D359" s="24" t="s">
        <v>374</v>
      </c>
      <c r="E359" s="117" t="s">
        <v>374</v>
      </c>
      <c r="F359" s="117" t="s">
        <v>374</v>
      </c>
      <c r="G359" s="117" t="s">
        <v>374</v>
      </c>
      <c r="H359" s="65">
        <f>'c-17'!C61</f>
        <v>87</v>
      </c>
      <c r="I359" s="64" t="s">
        <v>374</v>
      </c>
      <c r="J359" s="65">
        <f>'c-23'!C51</f>
        <v>263</v>
      </c>
      <c r="K359" s="66" t="s">
        <v>374</v>
      </c>
      <c r="L359" s="26">
        <f>'c-15'!C52</f>
        <v>186</v>
      </c>
      <c r="M359" s="117" t="s">
        <v>374</v>
      </c>
      <c r="N359" s="65">
        <f>'c-16'!C50</f>
        <v>362</v>
      </c>
      <c r="O359" s="65" t="s">
        <v>374</v>
      </c>
      <c r="P359" s="65" t="s">
        <v>374</v>
      </c>
    </row>
    <row r="360" spans="1:16" ht="15.75" customHeight="1">
      <c r="A360" s="120" t="s">
        <v>808</v>
      </c>
      <c r="B360" s="26">
        <f t="shared" si="18"/>
        <v>1386</v>
      </c>
      <c r="C360" s="134">
        <f>'c-10'!C45</f>
        <v>42</v>
      </c>
      <c r="D360" s="24" t="s">
        <v>374</v>
      </c>
      <c r="E360" s="117" t="s">
        <v>374</v>
      </c>
      <c r="F360" s="117" t="s">
        <v>374</v>
      </c>
      <c r="G360" s="117" t="s">
        <v>374</v>
      </c>
      <c r="H360" s="65">
        <f>'c-17'!C40</f>
        <v>39</v>
      </c>
      <c r="I360" s="64" t="s">
        <v>374</v>
      </c>
      <c r="J360" s="65">
        <f>'c-23'!C34</f>
        <v>322</v>
      </c>
      <c r="K360" s="26">
        <f>'c-24'!C31</f>
        <v>547</v>
      </c>
      <c r="L360" s="26">
        <f>'c-15'!C34</f>
        <v>145</v>
      </c>
      <c r="M360" s="117" t="s">
        <v>374</v>
      </c>
      <c r="N360" s="65">
        <f>'c-16'!C32</f>
        <v>291</v>
      </c>
      <c r="O360" s="65" t="s">
        <v>374</v>
      </c>
      <c r="P360" s="65" t="s">
        <v>374</v>
      </c>
    </row>
    <row r="361" spans="1:16" ht="15.75" customHeight="1">
      <c r="A361" s="120" t="s">
        <v>809</v>
      </c>
      <c r="B361" s="26">
        <f t="shared" si="18"/>
        <v>748</v>
      </c>
      <c r="C361" s="134">
        <f>'c-10'!C46</f>
        <v>9</v>
      </c>
      <c r="D361" s="24" t="s">
        <v>374</v>
      </c>
      <c r="E361" s="117" t="s">
        <v>374</v>
      </c>
      <c r="F361" s="117" t="s">
        <v>374</v>
      </c>
      <c r="G361" s="117" t="s">
        <v>374</v>
      </c>
      <c r="H361" s="65">
        <f>'c-17'!C41</f>
        <v>18</v>
      </c>
      <c r="I361" s="64" t="s">
        <v>374</v>
      </c>
      <c r="J361" s="65">
        <f>'c-23'!C35</f>
        <v>77</v>
      </c>
      <c r="K361" s="26">
        <f>'c-24'!C29</f>
        <v>529</v>
      </c>
      <c r="L361" s="26">
        <f>'c-15'!C35</f>
        <v>41</v>
      </c>
      <c r="M361" s="117" t="s">
        <v>374</v>
      </c>
      <c r="N361" s="65">
        <f>'c-16'!C33</f>
        <v>74</v>
      </c>
      <c r="O361" s="65" t="s">
        <v>374</v>
      </c>
      <c r="P361" s="65" t="s">
        <v>374</v>
      </c>
    </row>
    <row r="362" spans="1:16" ht="15.75" customHeight="1">
      <c r="A362" s="120" t="s">
        <v>810</v>
      </c>
      <c r="B362" s="26">
        <f t="shared" si="18"/>
        <v>758</v>
      </c>
      <c r="C362" s="134">
        <f>'c-10'!C47</f>
        <v>55</v>
      </c>
      <c r="D362" s="24" t="s">
        <v>374</v>
      </c>
      <c r="E362" s="117" t="s">
        <v>374</v>
      </c>
      <c r="F362" s="117" t="s">
        <v>374</v>
      </c>
      <c r="G362" s="117" t="s">
        <v>374</v>
      </c>
      <c r="H362" s="65">
        <f>'c-17'!C42</f>
        <v>64</v>
      </c>
      <c r="I362" s="64" t="s">
        <v>374</v>
      </c>
      <c r="J362" s="65">
        <f>'c-23'!C36</f>
        <v>174</v>
      </c>
      <c r="K362" s="64" t="s">
        <v>374</v>
      </c>
      <c r="L362" s="26">
        <f>'c-15'!C36</f>
        <v>251</v>
      </c>
      <c r="M362" s="117" t="s">
        <v>374</v>
      </c>
      <c r="N362" s="65">
        <f>'c-16'!C34</f>
        <v>214</v>
      </c>
      <c r="O362" s="65" t="s">
        <v>374</v>
      </c>
      <c r="P362" s="65" t="s">
        <v>374</v>
      </c>
    </row>
    <row r="363" spans="1:16" ht="15.75" customHeight="1">
      <c r="A363" s="120" t="s">
        <v>811</v>
      </c>
      <c r="B363" s="26">
        <f t="shared" si="18"/>
        <v>1129</v>
      </c>
      <c r="C363" s="134">
        <f>'c-10'!C53</f>
        <v>27</v>
      </c>
      <c r="D363" s="24" t="s">
        <v>374</v>
      </c>
      <c r="E363" s="117" t="s">
        <v>374</v>
      </c>
      <c r="F363" s="117" t="s">
        <v>374</v>
      </c>
      <c r="G363" s="117" t="s">
        <v>374</v>
      </c>
      <c r="H363" s="65">
        <f>'c-17'!C47</f>
        <v>100</v>
      </c>
      <c r="I363" s="64" t="s">
        <v>374</v>
      </c>
      <c r="J363" s="65">
        <f>'c-23'!C40</f>
        <v>411</v>
      </c>
      <c r="K363" s="26">
        <f>'c-24'!C35</f>
        <v>167</v>
      </c>
      <c r="L363" s="26">
        <f>'c-15'!C40</f>
        <v>424</v>
      </c>
      <c r="M363" s="117" t="s">
        <v>374</v>
      </c>
      <c r="N363" s="65">
        <f>'c-16'!C38</f>
        <v>0</v>
      </c>
      <c r="O363" s="65" t="s">
        <v>374</v>
      </c>
      <c r="P363" s="65" t="s">
        <v>374</v>
      </c>
    </row>
    <row r="364" spans="1:16" ht="15.75" customHeight="1">
      <c r="A364" s="120" t="s">
        <v>109</v>
      </c>
      <c r="B364" s="26">
        <f t="shared" si="18"/>
        <v>816</v>
      </c>
      <c r="C364" s="134">
        <f>'c-10'!C54</f>
        <v>12</v>
      </c>
      <c r="D364" s="24" t="s">
        <v>374</v>
      </c>
      <c r="E364" s="117" t="s">
        <v>374</v>
      </c>
      <c r="F364" s="117" t="s">
        <v>374</v>
      </c>
      <c r="G364" s="117" t="s">
        <v>374</v>
      </c>
      <c r="H364" s="65">
        <f>'c-17'!C48</f>
        <v>22</v>
      </c>
      <c r="I364" s="64" t="s">
        <v>374</v>
      </c>
      <c r="J364" s="65">
        <f>'c-23'!C41</f>
        <v>248</v>
      </c>
      <c r="K364" s="26">
        <f>'c-24'!C36</f>
        <v>52</v>
      </c>
      <c r="L364" s="26">
        <f>'c-15'!C41</f>
        <v>228</v>
      </c>
      <c r="M364" s="117" t="s">
        <v>374</v>
      </c>
      <c r="N364" s="65">
        <f>'c-16'!C39</f>
        <v>254</v>
      </c>
      <c r="O364" s="65" t="s">
        <v>374</v>
      </c>
      <c r="P364" s="65" t="s">
        <v>374</v>
      </c>
    </row>
    <row r="365" spans="1:16" ht="15.75" customHeight="1">
      <c r="A365" s="120" t="s">
        <v>110</v>
      </c>
      <c r="B365" s="26">
        <f t="shared" si="18"/>
        <v>678</v>
      </c>
      <c r="C365" s="134">
        <f>'c-10'!C55</f>
        <v>10</v>
      </c>
      <c r="D365" s="24" t="s">
        <v>374</v>
      </c>
      <c r="E365" s="117" t="s">
        <v>374</v>
      </c>
      <c r="F365" s="117" t="s">
        <v>374</v>
      </c>
      <c r="G365" s="117" t="s">
        <v>374</v>
      </c>
      <c r="H365" s="65">
        <f>'c-17'!C49</f>
        <v>38</v>
      </c>
      <c r="I365" s="64" t="s">
        <v>374</v>
      </c>
      <c r="J365" s="65">
        <f>'c-23'!C42</f>
        <v>177</v>
      </c>
      <c r="K365" s="26">
        <f>'c-24'!C37</f>
        <v>77</v>
      </c>
      <c r="L365" s="26">
        <f>'c-15'!C42</f>
        <v>184</v>
      </c>
      <c r="M365" s="117" t="s">
        <v>374</v>
      </c>
      <c r="N365" s="65">
        <f>'c-16'!C40</f>
        <v>192</v>
      </c>
      <c r="O365" s="65" t="s">
        <v>374</v>
      </c>
      <c r="P365" s="65" t="s">
        <v>374</v>
      </c>
    </row>
    <row r="366" spans="1:16" ht="15.75" customHeight="1">
      <c r="A366" s="120" t="s">
        <v>111</v>
      </c>
      <c r="B366" s="26">
        <f t="shared" si="18"/>
        <v>1450</v>
      </c>
      <c r="C366" s="134">
        <f>'c-10'!C56</f>
        <v>24</v>
      </c>
      <c r="D366" s="24" t="s">
        <v>374</v>
      </c>
      <c r="E366" s="117" t="s">
        <v>374</v>
      </c>
      <c r="F366" s="117" t="s">
        <v>374</v>
      </c>
      <c r="G366" s="117" t="s">
        <v>374</v>
      </c>
      <c r="H366" s="65">
        <f>'c-17'!C50</f>
        <v>108</v>
      </c>
      <c r="I366" s="64" t="s">
        <v>374</v>
      </c>
      <c r="J366" s="65">
        <f>'c-23'!C43</f>
        <v>297</v>
      </c>
      <c r="K366" s="26">
        <f>'c-24'!C38</f>
        <v>312</v>
      </c>
      <c r="L366" s="26">
        <f>'c-15'!C43</f>
        <v>306</v>
      </c>
      <c r="M366" s="117" t="s">
        <v>374</v>
      </c>
      <c r="N366" s="65">
        <f>'c-16'!C41</f>
        <v>403</v>
      </c>
      <c r="O366" s="65" t="s">
        <v>374</v>
      </c>
      <c r="P366" s="65" t="s">
        <v>374</v>
      </c>
    </row>
    <row r="367" spans="1:16" ht="15.75" customHeight="1">
      <c r="A367" s="120" t="s">
        <v>112</v>
      </c>
      <c r="B367" s="26">
        <f t="shared" si="18"/>
        <v>1171</v>
      </c>
      <c r="C367" s="134">
        <f>'c-10'!C72</f>
        <v>127</v>
      </c>
      <c r="D367" s="24" t="s">
        <v>374</v>
      </c>
      <c r="E367" s="117" t="s">
        <v>374</v>
      </c>
      <c r="F367" s="117" t="s">
        <v>374</v>
      </c>
      <c r="G367" s="117" t="s">
        <v>374</v>
      </c>
      <c r="H367" s="65">
        <f>'c-17'!C67</f>
        <v>216</v>
      </c>
      <c r="I367" s="64" t="s">
        <v>374</v>
      </c>
      <c r="J367" s="65">
        <f>'c-23'!C55</f>
        <v>828</v>
      </c>
      <c r="K367" s="64" t="s">
        <v>374</v>
      </c>
      <c r="L367" s="64" t="s">
        <v>374</v>
      </c>
      <c r="M367" s="117" t="s">
        <v>374</v>
      </c>
      <c r="N367" s="118" t="s">
        <v>374</v>
      </c>
      <c r="O367" s="65" t="s">
        <v>374</v>
      </c>
      <c r="P367" s="65" t="s">
        <v>374</v>
      </c>
    </row>
    <row r="368" spans="1:16" ht="15.75" customHeight="1">
      <c r="A368" s="120" t="s">
        <v>113</v>
      </c>
      <c r="B368" s="26">
        <f t="shared" si="18"/>
        <v>1740</v>
      </c>
      <c r="C368" s="134">
        <f>'c-10'!C73</f>
        <v>35</v>
      </c>
      <c r="D368" s="24" t="s">
        <v>374</v>
      </c>
      <c r="E368" s="117" t="s">
        <v>374</v>
      </c>
      <c r="F368" s="117" t="s">
        <v>374</v>
      </c>
      <c r="G368" s="117" t="s">
        <v>374</v>
      </c>
      <c r="H368" s="65">
        <f>'c-17'!C68</f>
        <v>112</v>
      </c>
      <c r="I368" s="64" t="s">
        <v>374</v>
      </c>
      <c r="J368" s="65">
        <f>'c-23'!C56</f>
        <v>444</v>
      </c>
      <c r="K368" s="64" t="s">
        <v>374</v>
      </c>
      <c r="L368" s="26">
        <f>'c-15'!C57</f>
        <v>569</v>
      </c>
      <c r="M368" s="117" t="s">
        <v>374</v>
      </c>
      <c r="N368" s="65">
        <f>'c-16'!C57</f>
        <v>580</v>
      </c>
      <c r="O368" s="65" t="s">
        <v>374</v>
      </c>
      <c r="P368" s="65" t="s">
        <v>374</v>
      </c>
    </row>
    <row r="369" spans="1:16" ht="15.75" customHeight="1">
      <c r="A369" s="120" t="s">
        <v>114</v>
      </c>
      <c r="B369" s="26">
        <f t="shared" si="18"/>
        <v>407</v>
      </c>
      <c r="C369" s="134">
        <f>'c-10'!C74</f>
        <v>12</v>
      </c>
      <c r="D369" s="24" t="s">
        <v>374</v>
      </c>
      <c r="E369" s="117" t="s">
        <v>374</v>
      </c>
      <c r="F369" s="117" t="s">
        <v>374</v>
      </c>
      <c r="G369" s="117" t="s">
        <v>374</v>
      </c>
      <c r="H369" s="65">
        <f>'c-17'!C69</f>
        <v>14</v>
      </c>
      <c r="I369" s="64" t="s">
        <v>374</v>
      </c>
      <c r="J369" s="65">
        <f>'c-23'!C57</f>
        <v>87</v>
      </c>
      <c r="K369" s="26">
        <f>'c-24'!C47</f>
        <v>94</v>
      </c>
      <c r="L369" s="26">
        <f>'c-15'!C58</f>
        <v>97</v>
      </c>
      <c r="M369" s="117" t="s">
        <v>374</v>
      </c>
      <c r="N369" s="65">
        <f>'c-16'!C58</f>
        <v>103</v>
      </c>
      <c r="O369" s="65" t="s">
        <v>374</v>
      </c>
      <c r="P369" s="65" t="s">
        <v>374</v>
      </c>
    </row>
    <row r="370" spans="1:16" ht="15.75" customHeight="1">
      <c r="A370" s="120" t="s">
        <v>115</v>
      </c>
      <c r="B370" s="26">
        <f t="shared" si="18"/>
        <v>2159</v>
      </c>
      <c r="C370" s="134">
        <f>'c-10'!C75</f>
        <v>107</v>
      </c>
      <c r="D370" s="24" t="s">
        <v>374</v>
      </c>
      <c r="E370" s="117" t="s">
        <v>374</v>
      </c>
      <c r="F370" s="117" t="s">
        <v>374</v>
      </c>
      <c r="G370" s="117" t="s">
        <v>374</v>
      </c>
      <c r="H370" s="65">
        <f>'c-17'!C70</f>
        <v>171</v>
      </c>
      <c r="I370" s="64" t="s">
        <v>374</v>
      </c>
      <c r="J370" s="65">
        <f>'c-23'!C58</f>
        <v>657</v>
      </c>
      <c r="K370" s="26">
        <f>'c-24'!C48</f>
        <v>578</v>
      </c>
      <c r="L370" s="26">
        <f>'c-15'!C59</f>
        <v>646</v>
      </c>
      <c r="M370" s="117" t="s">
        <v>374</v>
      </c>
      <c r="N370" s="65" t="s">
        <v>374</v>
      </c>
      <c r="O370" s="65" t="s">
        <v>374</v>
      </c>
      <c r="P370" s="65" t="s">
        <v>374</v>
      </c>
    </row>
    <row r="371" spans="1:16" ht="15.75" customHeight="1">
      <c r="A371" s="120" t="s">
        <v>116</v>
      </c>
      <c r="B371" s="26">
        <f t="shared" si="18"/>
        <v>600</v>
      </c>
      <c r="C371" s="134">
        <f>'c-10'!C76</f>
        <v>18</v>
      </c>
      <c r="D371" s="24" t="s">
        <v>374</v>
      </c>
      <c r="E371" s="117" t="s">
        <v>374</v>
      </c>
      <c r="F371" s="117" t="s">
        <v>374</v>
      </c>
      <c r="G371" s="117" t="s">
        <v>374</v>
      </c>
      <c r="H371" s="65">
        <f>'c-17'!C71</f>
        <v>25</v>
      </c>
      <c r="I371" s="64" t="s">
        <v>374</v>
      </c>
      <c r="J371" s="65">
        <f>'c-23'!C59</f>
        <v>191</v>
      </c>
      <c r="K371" s="26">
        <f>'c-24'!C49</f>
        <v>71</v>
      </c>
      <c r="L371" s="26">
        <f>'c-15'!C60</f>
        <v>144</v>
      </c>
      <c r="M371" s="117" t="s">
        <v>374</v>
      </c>
      <c r="N371" s="65">
        <f>'c-16'!C59</f>
        <v>151</v>
      </c>
      <c r="O371" s="65" t="s">
        <v>374</v>
      </c>
      <c r="P371" s="65" t="s">
        <v>374</v>
      </c>
    </row>
    <row r="372" spans="1:16" ht="15.75" customHeight="1">
      <c r="A372" s="120" t="s">
        <v>117</v>
      </c>
      <c r="B372" s="26">
        <f t="shared" si="18"/>
        <v>2062</v>
      </c>
      <c r="C372" s="134">
        <f>'c-10'!C83</f>
        <v>79</v>
      </c>
      <c r="D372" s="24" t="s">
        <v>374</v>
      </c>
      <c r="E372" s="117" t="s">
        <v>374</v>
      </c>
      <c r="F372" s="117" t="s">
        <v>374</v>
      </c>
      <c r="G372" s="117" t="s">
        <v>374</v>
      </c>
      <c r="H372" s="65">
        <f>'c-17'!C77</f>
        <v>2</v>
      </c>
      <c r="I372" s="64" t="s">
        <v>374</v>
      </c>
      <c r="J372" s="65">
        <f>'c-23'!C64</f>
        <v>200</v>
      </c>
      <c r="K372" s="26">
        <f>'c-24'!C54</f>
        <v>1236</v>
      </c>
      <c r="L372" s="26">
        <f>'c-15'!C69</f>
        <v>238</v>
      </c>
      <c r="M372" s="117" t="s">
        <v>374</v>
      </c>
      <c r="N372" s="65">
        <f>'c-16'!C64</f>
        <v>307</v>
      </c>
      <c r="O372" s="65" t="s">
        <v>374</v>
      </c>
      <c r="P372" s="65" t="s">
        <v>374</v>
      </c>
    </row>
    <row r="373" spans="1:16" ht="15.75" customHeight="1">
      <c r="A373" s="120" t="s">
        <v>118</v>
      </c>
      <c r="B373" s="26">
        <f t="shared" si="18"/>
        <v>1828</v>
      </c>
      <c r="C373" s="134">
        <f>'c-10'!C84</f>
        <v>94</v>
      </c>
      <c r="D373" s="24" t="s">
        <v>374</v>
      </c>
      <c r="E373" s="117" t="s">
        <v>374</v>
      </c>
      <c r="F373" s="117" t="s">
        <v>374</v>
      </c>
      <c r="G373" s="117" t="s">
        <v>374</v>
      </c>
      <c r="H373" s="65" t="s">
        <v>374</v>
      </c>
      <c r="I373" s="64" t="s">
        <v>374</v>
      </c>
      <c r="J373" s="65">
        <f>'c-23'!C65</f>
        <v>405</v>
      </c>
      <c r="K373" s="26">
        <f>'c-24'!C55</f>
        <v>470</v>
      </c>
      <c r="L373" s="26">
        <f>'c-15'!C65</f>
        <v>343</v>
      </c>
      <c r="M373" s="117" t="s">
        <v>374</v>
      </c>
      <c r="N373" s="65">
        <f>'c-16'!C65</f>
        <v>516</v>
      </c>
      <c r="O373" s="65" t="s">
        <v>374</v>
      </c>
      <c r="P373" s="65" t="s">
        <v>374</v>
      </c>
    </row>
    <row r="374" spans="1:16" ht="15.75" customHeight="1">
      <c r="A374" s="120" t="s">
        <v>119</v>
      </c>
      <c r="B374" s="26">
        <f t="shared" si="18"/>
        <v>763</v>
      </c>
      <c r="C374" s="134">
        <f>'c-10'!C85</f>
        <v>31</v>
      </c>
      <c r="D374" s="24" t="s">
        <v>374</v>
      </c>
      <c r="E374" s="117" t="s">
        <v>374</v>
      </c>
      <c r="F374" s="117" t="s">
        <v>374</v>
      </c>
      <c r="G374" s="117" t="s">
        <v>374</v>
      </c>
      <c r="H374" s="65">
        <f>'c-17'!C78</f>
        <v>0</v>
      </c>
      <c r="I374" s="64" t="s">
        <v>374</v>
      </c>
      <c r="J374" s="65">
        <f>'c-23'!C66</f>
        <v>121</v>
      </c>
      <c r="K374" s="26">
        <f>'c-24'!C56</f>
        <v>229</v>
      </c>
      <c r="L374" s="26">
        <f>'c-15'!C66</f>
        <v>188</v>
      </c>
      <c r="M374" s="117" t="s">
        <v>374</v>
      </c>
      <c r="N374" s="65">
        <f>'c-16'!C66</f>
        <v>194</v>
      </c>
      <c r="O374" s="65" t="s">
        <v>374</v>
      </c>
      <c r="P374" s="65" t="s">
        <v>374</v>
      </c>
    </row>
    <row r="375" spans="1:16" ht="15.75" customHeight="1">
      <c r="A375" s="120" t="s">
        <v>120</v>
      </c>
      <c r="B375" s="26">
        <f t="shared" si="18"/>
        <v>754</v>
      </c>
      <c r="C375" s="134">
        <f>'c-10'!C86</f>
        <v>113</v>
      </c>
      <c r="D375" s="24" t="s">
        <v>374</v>
      </c>
      <c r="E375" s="117" t="s">
        <v>374</v>
      </c>
      <c r="F375" s="117" t="s">
        <v>374</v>
      </c>
      <c r="G375" s="117" t="s">
        <v>374</v>
      </c>
      <c r="H375" s="65">
        <f>'c-17'!C79</f>
        <v>147</v>
      </c>
      <c r="I375" s="64" t="s">
        <v>374</v>
      </c>
      <c r="J375" s="65">
        <f>'c-23'!C67</f>
        <v>494</v>
      </c>
      <c r="K375" s="64" t="s">
        <v>374</v>
      </c>
      <c r="L375" s="117" t="s">
        <v>374</v>
      </c>
      <c r="M375" s="117" t="s">
        <v>374</v>
      </c>
      <c r="N375" s="117" t="s">
        <v>374</v>
      </c>
      <c r="O375" s="65" t="s">
        <v>374</v>
      </c>
      <c r="P375" s="65" t="s">
        <v>374</v>
      </c>
    </row>
    <row r="376" spans="1:16" ht="15.75" customHeight="1">
      <c r="A376" s="120" t="s">
        <v>624</v>
      </c>
      <c r="B376" s="26">
        <f t="shared" si="18"/>
        <v>1416</v>
      </c>
      <c r="C376" s="134">
        <f>'c-10'!C87</f>
        <v>36</v>
      </c>
      <c r="D376" s="24" t="s">
        <v>374</v>
      </c>
      <c r="E376" s="117" t="s">
        <v>374</v>
      </c>
      <c r="F376" s="117" t="s">
        <v>374</v>
      </c>
      <c r="G376" s="117" t="s">
        <v>374</v>
      </c>
      <c r="H376" s="65">
        <f>'c-17'!C80</f>
        <v>214</v>
      </c>
      <c r="I376" s="64" t="s">
        <v>374</v>
      </c>
      <c r="J376" s="65">
        <f>'c-23'!C68</f>
        <v>542</v>
      </c>
      <c r="K376" s="26">
        <f>'c-24'!C57</f>
        <v>624</v>
      </c>
      <c r="L376" s="26" t="s">
        <v>374</v>
      </c>
      <c r="M376" s="117" t="s">
        <v>374</v>
      </c>
      <c r="N376" s="65" t="s">
        <v>374</v>
      </c>
      <c r="O376" s="65" t="s">
        <v>374</v>
      </c>
      <c r="P376" s="65" t="s">
        <v>374</v>
      </c>
    </row>
    <row r="377" spans="1:16" ht="15.75" customHeight="1">
      <c r="A377" s="120" t="s">
        <v>625</v>
      </c>
      <c r="B377" s="26">
        <f t="shared" si="18"/>
        <v>990</v>
      </c>
      <c r="C377" s="134">
        <f>'c-10'!C93</f>
        <v>28</v>
      </c>
      <c r="D377" s="24" t="s">
        <v>374</v>
      </c>
      <c r="E377" s="117" t="s">
        <v>374</v>
      </c>
      <c r="F377" s="117" t="s">
        <v>374</v>
      </c>
      <c r="G377" s="117" t="s">
        <v>374</v>
      </c>
      <c r="H377" s="65">
        <f>'c-17'!C87</f>
        <v>57</v>
      </c>
      <c r="I377" s="64" t="s">
        <v>374</v>
      </c>
      <c r="J377" s="65">
        <f>'c-23'!C72</f>
        <v>320</v>
      </c>
      <c r="K377" s="26">
        <f>'c-24'!C61</f>
        <v>120</v>
      </c>
      <c r="L377" s="26">
        <f>'c-15'!C73</f>
        <v>266</v>
      </c>
      <c r="M377" s="117" t="s">
        <v>374</v>
      </c>
      <c r="N377" s="65">
        <f>'c-16'!C72</f>
        <v>199</v>
      </c>
      <c r="O377" s="65" t="s">
        <v>374</v>
      </c>
      <c r="P377" s="65" t="s">
        <v>374</v>
      </c>
    </row>
    <row r="378" spans="1:16" ht="15.75" customHeight="1">
      <c r="A378" s="120" t="s">
        <v>626</v>
      </c>
      <c r="B378" s="26">
        <f t="shared" si="18"/>
        <v>927</v>
      </c>
      <c r="C378" s="134">
        <f>'c-10'!C94</f>
        <v>10</v>
      </c>
      <c r="D378" s="24" t="s">
        <v>374</v>
      </c>
      <c r="E378" s="117" t="s">
        <v>374</v>
      </c>
      <c r="F378" s="117" t="s">
        <v>374</v>
      </c>
      <c r="G378" s="117" t="s">
        <v>374</v>
      </c>
      <c r="H378" s="65">
        <f>'c-17'!C88</f>
        <v>38</v>
      </c>
      <c r="I378" s="64" t="s">
        <v>374</v>
      </c>
      <c r="J378" s="65">
        <f>'c-23'!C73</f>
        <v>343</v>
      </c>
      <c r="K378" s="26">
        <f>'c-24'!C62</f>
        <v>105</v>
      </c>
      <c r="L378" s="26">
        <f>'c-15'!C74</f>
        <v>177</v>
      </c>
      <c r="M378" s="117" t="s">
        <v>374</v>
      </c>
      <c r="N378" s="65">
        <f>'c-16'!C73</f>
        <v>254</v>
      </c>
      <c r="O378" s="65" t="s">
        <v>374</v>
      </c>
      <c r="P378" s="65" t="s">
        <v>374</v>
      </c>
    </row>
    <row r="379" spans="1:16" ht="15.75" customHeight="1">
      <c r="A379" s="120" t="s">
        <v>627</v>
      </c>
      <c r="B379" s="26">
        <f t="shared" si="18"/>
        <v>1078</v>
      </c>
      <c r="C379" s="134">
        <f>'c-10'!C95</f>
        <v>28</v>
      </c>
      <c r="D379" s="24" t="s">
        <v>374</v>
      </c>
      <c r="E379" s="117" t="s">
        <v>374</v>
      </c>
      <c r="F379" s="117" t="s">
        <v>374</v>
      </c>
      <c r="G379" s="117" t="s">
        <v>374</v>
      </c>
      <c r="H379" s="65">
        <f>'c-17'!C89</f>
        <v>182</v>
      </c>
      <c r="I379" s="64" t="s">
        <v>374</v>
      </c>
      <c r="J379" s="65">
        <f>'c-23'!C74</f>
        <v>319</v>
      </c>
      <c r="K379" s="26">
        <f>'c-24'!C63</f>
        <v>251</v>
      </c>
      <c r="L379" s="26">
        <f>'c-15'!C75</f>
        <v>298</v>
      </c>
      <c r="M379" s="117" t="s">
        <v>374</v>
      </c>
      <c r="N379" s="118" t="s">
        <v>374</v>
      </c>
      <c r="O379" s="65" t="s">
        <v>374</v>
      </c>
      <c r="P379" s="65" t="s">
        <v>374</v>
      </c>
    </row>
    <row r="380" spans="1:16" ht="15.75" customHeight="1">
      <c r="A380" s="120" t="s">
        <v>628</v>
      </c>
      <c r="B380" s="26">
        <f t="shared" si="18"/>
        <v>755</v>
      </c>
      <c r="C380" s="134">
        <f>'c-10'!C96</f>
        <v>31</v>
      </c>
      <c r="D380" s="24" t="s">
        <v>374</v>
      </c>
      <c r="E380" s="117" t="s">
        <v>374</v>
      </c>
      <c r="F380" s="117" t="s">
        <v>374</v>
      </c>
      <c r="G380" s="117" t="s">
        <v>374</v>
      </c>
      <c r="H380" s="65">
        <f>'c-17'!C90</f>
        <v>48</v>
      </c>
      <c r="I380" s="64" t="s">
        <v>374</v>
      </c>
      <c r="J380" s="65">
        <f>'c-23'!C75</f>
        <v>199</v>
      </c>
      <c r="K380" s="26">
        <f>'c-24'!C64</f>
        <v>113</v>
      </c>
      <c r="L380" s="26">
        <f>'c-15'!C76</f>
        <v>136</v>
      </c>
      <c r="M380" s="117" t="s">
        <v>374</v>
      </c>
      <c r="N380" s="65">
        <f>'c-16'!C74</f>
        <v>228</v>
      </c>
      <c r="O380" s="65" t="s">
        <v>374</v>
      </c>
      <c r="P380" s="65" t="s">
        <v>374</v>
      </c>
    </row>
    <row r="381" spans="1:16" ht="15.75" customHeight="1">
      <c r="A381" s="120" t="s">
        <v>629</v>
      </c>
      <c r="B381" s="26">
        <f t="shared" si="18"/>
        <v>833</v>
      </c>
      <c r="C381" s="134">
        <f>'c-10'!C97</f>
        <v>16</v>
      </c>
      <c r="D381" s="24" t="s">
        <v>374</v>
      </c>
      <c r="E381" s="117" t="s">
        <v>374</v>
      </c>
      <c r="F381" s="117" t="s">
        <v>374</v>
      </c>
      <c r="G381" s="117" t="s">
        <v>374</v>
      </c>
      <c r="H381" s="65">
        <f>'c-17'!C91</f>
        <v>35</v>
      </c>
      <c r="I381" s="64" t="s">
        <v>374</v>
      </c>
      <c r="J381" s="65">
        <f>'c-23'!C76</f>
        <v>169</v>
      </c>
      <c r="K381" s="26">
        <f>'c-24'!C65</f>
        <v>256</v>
      </c>
      <c r="L381" s="26">
        <f>'c-15'!C77</f>
        <v>141</v>
      </c>
      <c r="M381" s="117" t="s">
        <v>374</v>
      </c>
      <c r="N381" s="65">
        <f>'c-16'!C75</f>
        <v>216</v>
      </c>
      <c r="O381" s="65" t="s">
        <v>374</v>
      </c>
      <c r="P381" s="65" t="s">
        <v>374</v>
      </c>
    </row>
    <row r="382" spans="1:16" ht="15.75" customHeight="1">
      <c r="A382" s="120" t="s">
        <v>630</v>
      </c>
      <c r="B382" s="26">
        <f t="shared" si="18"/>
        <v>434</v>
      </c>
      <c r="C382" s="134">
        <f>'c-10'!C103</f>
        <v>17</v>
      </c>
      <c r="D382" s="24" t="s">
        <v>374</v>
      </c>
      <c r="E382" s="117" t="s">
        <v>374</v>
      </c>
      <c r="F382" s="117" t="s">
        <v>374</v>
      </c>
      <c r="G382" s="117" t="s">
        <v>374</v>
      </c>
      <c r="H382" s="65">
        <f>'c-17'!C98</f>
        <v>15</v>
      </c>
      <c r="I382" s="64" t="s">
        <v>374</v>
      </c>
      <c r="J382" s="65">
        <f>'c-23'!C81</f>
        <v>143</v>
      </c>
      <c r="K382" s="26">
        <f>'c-24'!C70</f>
        <v>30</v>
      </c>
      <c r="L382" s="26">
        <f>'c-15'!C81</f>
        <v>119</v>
      </c>
      <c r="M382" s="117" t="s">
        <v>374</v>
      </c>
      <c r="N382" s="65">
        <f>'c-16'!C80</f>
        <v>110</v>
      </c>
      <c r="O382" s="65" t="s">
        <v>374</v>
      </c>
      <c r="P382" s="65" t="s">
        <v>374</v>
      </c>
    </row>
    <row r="383" spans="1:16" ht="15.75" customHeight="1">
      <c r="A383" s="120" t="s">
        <v>631</v>
      </c>
      <c r="B383" s="26">
        <f t="shared" si="18"/>
        <v>1778</v>
      </c>
      <c r="C383" s="134">
        <f>'c-10'!C104</f>
        <v>50</v>
      </c>
      <c r="D383" s="24" t="s">
        <v>374</v>
      </c>
      <c r="E383" s="117" t="s">
        <v>374</v>
      </c>
      <c r="F383" s="117" t="s">
        <v>374</v>
      </c>
      <c r="G383" s="117" t="s">
        <v>374</v>
      </c>
      <c r="H383" s="65">
        <f>'c-17'!C99</f>
        <v>155</v>
      </c>
      <c r="I383" s="64" t="s">
        <v>374</v>
      </c>
      <c r="J383" s="65">
        <f>'c-23'!C82</f>
        <v>376</v>
      </c>
      <c r="K383" s="26">
        <f>'c-24'!C71</f>
        <v>275</v>
      </c>
      <c r="L383" s="26">
        <f>'c-15'!C83</f>
        <v>281</v>
      </c>
      <c r="M383" s="117" t="s">
        <v>374</v>
      </c>
      <c r="N383" s="65">
        <f>'c-16'!C81</f>
        <v>641</v>
      </c>
      <c r="O383" s="65" t="s">
        <v>374</v>
      </c>
      <c r="P383" s="65" t="s">
        <v>374</v>
      </c>
    </row>
    <row r="384" spans="1:16" ht="15.75" customHeight="1">
      <c r="A384" s="120" t="s">
        <v>632</v>
      </c>
      <c r="B384" s="26">
        <f t="shared" si="18"/>
        <v>165</v>
      </c>
      <c r="C384" s="134">
        <f>'c-10'!C105</f>
        <v>2</v>
      </c>
      <c r="D384" s="24" t="s">
        <v>374</v>
      </c>
      <c r="E384" s="117" t="s">
        <v>374</v>
      </c>
      <c r="F384" s="117" t="s">
        <v>374</v>
      </c>
      <c r="G384" s="117" t="s">
        <v>374</v>
      </c>
      <c r="H384" s="65">
        <f>'c-17'!C100</f>
        <v>5</v>
      </c>
      <c r="I384" s="64" t="s">
        <v>374</v>
      </c>
      <c r="J384" s="65">
        <f>'c-23'!C83</f>
        <v>48</v>
      </c>
      <c r="K384" s="26">
        <f>'c-24'!C72</f>
        <v>27</v>
      </c>
      <c r="L384" s="26">
        <f>'c-15'!C84</f>
        <v>40</v>
      </c>
      <c r="M384" s="117" t="s">
        <v>374</v>
      </c>
      <c r="N384" s="65">
        <f>'c-16'!C82</f>
        <v>43</v>
      </c>
      <c r="O384" s="65" t="s">
        <v>374</v>
      </c>
      <c r="P384" s="65" t="s">
        <v>374</v>
      </c>
    </row>
    <row r="385" spans="1:16" ht="15.75" customHeight="1">
      <c r="A385" s="120" t="s">
        <v>633</v>
      </c>
      <c r="B385" s="26">
        <f t="shared" si="18"/>
        <v>999</v>
      </c>
      <c r="C385" s="134">
        <f>'c-10'!C112</f>
        <v>23</v>
      </c>
      <c r="D385" s="24" t="s">
        <v>374</v>
      </c>
      <c r="E385" s="117" t="s">
        <v>374</v>
      </c>
      <c r="F385" s="117" t="s">
        <v>374</v>
      </c>
      <c r="G385" s="117" t="s">
        <v>374</v>
      </c>
      <c r="H385" s="65" t="s">
        <v>374</v>
      </c>
      <c r="I385" s="64" t="s">
        <v>374</v>
      </c>
      <c r="J385" s="65">
        <f>'c-23'!C88</f>
        <v>266</v>
      </c>
      <c r="K385" s="64" t="s">
        <v>374</v>
      </c>
      <c r="L385" s="26">
        <f>'c-15'!C89</f>
        <v>341</v>
      </c>
      <c r="M385" s="117" t="s">
        <v>374</v>
      </c>
      <c r="N385" s="65">
        <f>'c-16'!C89</f>
        <v>369</v>
      </c>
      <c r="O385" s="65" t="s">
        <v>374</v>
      </c>
      <c r="P385" s="65" t="s">
        <v>374</v>
      </c>
    </row>
    <row r="386" spans="1:16" ht="15.75" customHeight="1">
      <c r="A386" s="120" t="s">
        <v>634</v>
      </c>
      <c r="B386" s="26">
        <f t="shared" si="18"/>
        <v>363</v>
      </c>
      <c r="C386" s="134">
        <f>'c-10'!C113</f>
        <v>10</v>
      </c>
      <c r="D386" s="24" t="s">
        <v>374</v>
      </c>
      <c r="E386" s="117" t="s">
        <v>374</v>
      </c>
      <c r="F386" s="117" t="s">
        <v>374</v>
      </c>
      <c r="G386" s="117" t="s">
        <v>374</v>
      </c>
      <c r="H386" s="65" t="s">
        <v>374</v>
      </c>
      <c r="I386" s="64" t="s">
        <v>374</v>
      </c>
      <c r="J386" s="65">
        <f>'c-23'!C89</f>
        <v>83</v>
      </c>
      <c r="K386" s="64" t="s">
        <v>374</v>
      </c>
      <c r="L386" s="26">
        <f>'c-15'!C90</f>
        <v>141</v>
      </c>
      <c r="M386" s="117" t="s">
        <v>374</v>
      </c>
      <c r="N386" s="65">
        <f>'c-16'!C90</f>
        <v>129</v>
      </c>
      <c r="O386" s="65" t="s">
        <v>374</v>
      </c>
      <c r="P386" s="65" t="s">
        <v>374</v>
      </c>
    </row>
    <row r="387" spans="1:16" ht="15.75" customHeight="1">
      <c r="A387" s="120" t="s">
        <v>635</v>
      </c>
      <c r="B387" s="26">
        <f t="shared" si="18"/>
        <v>1496</v>
      </c>
      <c r="C387" s="134">
        <f>'c-10'!C114</f>
        <v>46</v>
      </c>
      <c r="D387" s="24" t="s">
        <v>374</v>
      </c>
      <c r="E387" s="117" t="s">
        <v>374</v>
      </c>
      <c r="F387" s="117" t="s">
        <v>374</v>
      </c>
      <c r="G387" s="117" t="s">
        <v>374</v>
      </c>
      <c r="H387" s="65">
        <f>'c-17'!C109</f>
        <v>95</v>
      </c>
      <c r="I387" s="64" t="s">
        <v>374</v>
      </c>
      <c r="J387" s="65">
        <f>'c-23'!C90</f>
        <v>288</v>
      </c>
      <c r="K387" s="26">
        <f>'c-24'!C77</f>
        <v>560</v>
      </c>
      <c r="L387" s="26">
        <f>'c-15'!C91</f>
        <v>225</v>
      </c>
      <c r="M387" s="117" t="s">
        <v>374</v>
      </c>
      <c r="N387" s="65">
        <f>'c-16'!C91</f>
        <v>282</v>
      </c>
      <c r="O387" s="65" t="s">
        <v>374</v>
      </c>
      <c r="P387" s="65" t="s">
        <v>374</v>
      </c>
    </row>
    <row r="388" spans="1:16" ht="15.75" customHeight="1">
      <c r="A388" s="120" t="s">
        <v>636</v>
      </c>
      <c r="B388" s="26">
        <f t="shared" si="18"/>
        <v>506</v>
      </c>
      <c r="C388" s="134">
        <f>'c-10'!C106</f>
        <v>17</v>
      </c>
      <c r="D388" s="24" t="s">
        <v>374</v>
      </c>
      <c r="E388" s="117" t="s">
        <v>374</v>
      </c>
      <c r="F388" s="117" t="s">
        <v>374</v>
      </c>
      <c r="G388" s="117" t="s">
        <v>374</v>
      </c>
      <c r="H388" s="65">
        <f>'c-17'!C101</f>
        <v>39</v>
      </c>
      <c r="I388" s="64" t="s">
        <v>374</v>
      </c>
      <c r="J388" s="65">
        <f>'c-23'!C84</f>
        <v>161</v>
      </c>
      <c r="K388" s="26">
        <f>'c-24'!C73</f>
        <v>27</v>
      </c>
      <c r="L388" s="26">
        <f>'c-15'!C85</f>
        <v>118</v>
      </c>
      <c r="M388" s="117" t="s">
        <v>374</v>
      </c>
      <c r="N388" s="65">
        <f>'c-16'!C83</f>
        <v>144</v>
      </c>
      <c r="O388" s="65" t="s">
        <v>374</v>
      </c>
      <c r="P388" s="65" t="s">
        <v>374</v>
      </c>
    </row>
    <row r="389" spans="1:16" ht="15.75" customHeight="1">
      <c r="A389" s="120" t="s">
        <v>637</v>
      </c>
      <c r="B389" s="26">
        <f t="shared" si="18"/>
        <v>681</v>
      </c>
      <c r="C389" s="134">
        <f>'c-10'!C117</f>
        <v>15</v>
      </c>
      <c r="D389" s="24" t="s">
        <v>374</v>
      </c>
      <c r="E389" s="117" t="s">
        <v>374</v>
      </c>
      <c r="F389" s="117" t="s">
        <v>374</v>
      </c>
      <c r="G389" s="117" t="s">
        <v>374</v>
      </c>
      <c r="H389" s="65">
        <f>'c-17'!C110</f>
        <v>60</v>
      </c>
      <c r="I389" s="64" t="s">
        <v>374</v>
      </c>
      <c r="J389" s="65">
        <f>'c-23'!C93</f>
        <v>218</v>
      </c>
      <c r="K389" s="26">
        <f>'c-24'!C78</f>
        <v>120</v>
      </c>
      <c r="L389" s="26">
        <f>'c-15'!C92</f>
        <v>113</v>
      </c>
      <c r="M389" s="117" t="s">
        <v>374</v>
      </c>
      <c r="N389" s="65">
        <f>'c-16'!C92</f>
        <v>155</v>
      </c>
      <c r="O389" s="65" t="s">
        <v>374</v>
      </c>
      <c r="P389" s="65" t="s">
        <v>374</v>
      </c>
    </row>
    <row r="390" spans="1:16" ht="15.75" customHeight="1">
      <c r="A390" s="120" t="s">
        <v>885</v>
      </c>
      <c r="B390" s="26">
        <f>SUM(C390:P390)</f>
        <v>220</v>
      </c>
      <c r="C390" s="134">
        <f>'c-10'!C118</f>
        <v>7</v>
      </c>
      <c r="D390" s="24" t="s">
        <v>374</v>
      </c>
      <c r="E390" s="117" t="s">
        <v>374</v>
      </c>
      <c r="F390" s="117" t="s">
        <v>374</v>
      </c>
      <c r="G390" s="117" t="s">
        <v>374</v>
      </c>
      <c r="H390" s="65">
        <f>'c-17'!C113</f>
        <v>26</v>
      </c>
      <c r="I390" s="64" t="s">
        <v>374</v>
      </c>
      <c r="J390" s="65">
        <f>'c-23'!C94</f>
        <v>37</v>
      </c>
      <c r="K390" s="26">
        <f>'c-24'!C81</f>
        <v>18</v>
      </c>
      <c r="L390" s="26">
        <f>'c-15'!C95</f>
        <v>62</v>
      </c>
      <c r="M390" s="117" t="s">
        <v>374</v>
      </c>
      <c r="N390" s="65">
        <f>'c-16'!C93</f>
        <v>70</v>
      </c>
      <c r="O390" s="65" t="s">
        <v>374</v>
      </c>
      <c r="P390" s="65" t="s">
        <v>374</v>
      </c>
    </row>
    <row r="391" spans="1:16" ht="15.75" customHeight="1">
      <c r="A391" s="120" t="s">
        <v>638</v>
      </c>
      <c r="B391" s="26">
        <f t="shared" si="18"/>
        <v>1286</v>
      </c>
      <c r="C391" s="134">
        <f>'c-10'!C115</f>
        <v>30</v>
      </c>
      <c r="D391" s="24" t="s">
        <v>374</v>
      </c>
      <c r="E391" s="117" t="s">
        <v>374</v>
      </c>
      <c r="F391" s="117" t="s">
        <v>374</v>
      </c>
      <c r="G391" s="117" t="s">
        <v>374</v>
      </c>
      <c r="H391" s="65">
        <f>'c-17'!C111</f>
        <v>106</v>
      </c>
      <c r="I391" s="64" t="s">
        <v>374</v>
      </c>
      <c r="J391" s="65">
        <f>'c-23'!C91</f>
        <v>414</v>
      </c>
      <c r="K391" s="26">
        <f>'c-24'!C79</f>
        <v>384</v>
      </c>
      <c r="L391" s="26">
        <f>'c-15'!C93</f>
        <v>352</v>
      </c>
      <c r="M391" s="117" t="s">
        <v>374</v>
      </c>
      <c r="N391" s="118" t="s">
        <v>374</v>
      </c>
      <c r="O391" s="65" t="s">
        <v>374</v>
      </c>
      <c r="P391" s="65" t="s">
        <v>374</v>
      </c>
    </row>
    <row r="392" spans="1:16" ht="15.75" customHeight="1">
      <c r="A392" s="120" t="s">
        <v>639</v>
      </c>
      <c r="B392" s="26">
        <f t="shared" si="18"/>
        <v>1018</v>
      </c>
      <c r="C392" s="134">
        <f>'c-10'!C116</f>
        <v>16</v>
      </c>
      <c r="D392" s="24" t="s">
        <v>374</v>
      </c>
      <c r="E392" s="117" t="s">
        <v>374</v>
      </c>
      <c r="F392" s="117" t="s">
        <v>374</v>
      </c>
      <c r="G392" s="117" t="s">
        <v>374</v>
      </c>
      <c r="H392" s="65">
        <f>'c-17'!C112</f>
        <v>56</v>
      </c>
      <c r="I392" s="64"/>
      <c r="J392" s="65">
        <f>'c-23'!C92</f>
        <v>228</v>
      </c>
      <c r="K392" s="26">
        <f>'c-24'!C80</f>
        <v>190</v>
      </c>
      <c r="L392" s="26">
        <f>'c-15'!C94</f>
        <v>250</v>
      </c>
      <c r="M392" s="117" t="s">
        <v>374</v>
      </c>
      <c r="N392" s="118">
        <f>'c-16'!C88</f>
        <v>278</v>
      </c>
      <c r="O392" s="65"/>
      <c r="P392" s="65"/>
    </row>
    <row r="393" spans="1:16" ht="15.75" customHeight="1">
      <c r="A393" s="120" t="s">
        <v>640</v>
      </c>
      <c r="B393" s="26">
        <f t="shared" si="18"/>
        <v>2356</v>
      </c>
      <c r="C393" s="134">
        <f>'c-10'!C130</f>
        <v>33</v>
      </c>
      <c r="D393" s="24">
        <f>'c-11'!C49</f>
        <v>1382</v>
      </c>
      <c r="E393" s="117" t="s">
        <v>374</v>
      </c>
      <c r="F393" s="117" t="s">
        <v>374</v>
      </c>
      <c r="G393" s="117" t="s">
        <v>374</v>
      </c>
      <c r="H393" s="65">
        <f>'c-17'!C125</f>
        <v>78</v>
      </c>
      <c r="I393" s="64" t="s">
        <v>374</v>
      </c>
      <c r="J393" s="65">
        <f>'c-23'!C102</f>
        <v>406</v>
      </c>
      <c r="K393" s="26">
        <f>'c-24'!C89</f>
        <v>200</v>
      </c>
      <c r="L393" s="26">
        <f>'c-15'!C102</f>
        <v>257</v>
      </c>
      <c r="M393" s="117" t="s">
        <v>374</v>
      </c>
      <c r="N393" s="118" t="s">
        <v>374</v>
      </c>
      <c r="O393" s="65" t="s">
        <v>374</v>
      </c>
      <c r="P393" s="65" t="s">
        <v>374</v>
      </c>
    </row>
    <row r="394" spans="1:16" ht="15.75" customHeight="1">
      <c r="A394" s="120" t="s">
        <v>641</v>
      </c>
      <c r="B394" s="26">
        <f t="shared" si="18"/>
        <v>1083</v>
      </c>
      <c r="C394" s="134">
        <f>'c-10'!C131</f>
        <v>25</v>
      </c>
      <c r="D394" s="24" t="s">
        <v>374</v>
      </c>
      <c r="E394" s="117" t="s">
        <v>374</v>
      </c>
      <c r="F394" s="117" t="s">
        <v>374</v>
      </c>
      <c r="G394" s="117" t="s">
        <v>374</v>
      </c>
      <c r="H394" s="65">
        <f>'c-17'!C126</f>
        <v>65</v>
      </c>
      <c r="I394" s="64" t="s">
        <v>374</v>
      </c>
      <c r="J394" s="65">
        <f>'c-23'!C103</f>
        <v>276</v>
      </c>
      <c r="K394" s="26">
        <f>'c-24'!C90</f>
        <v>422</v>
      </c>
      <c r="L394" s="26">
        <f>'c-15'!C103</f>
        <v>295</v>
      </c>
      <c r="M394" s="117" t="s">
        <v>374</v>
      </c>
      <c r="N394" s="118" t="s">
        <v>374</v>
      </c>
      <c r="O394" s="65" t="s">
        <v>374</v>
      </c>
      <c r="P394" s="65" t="s">
        <v>374</v>
      </c>
    </row>
    <row r="395" spans="1:16" ht="15.75" customHeight="1">
      <c r="A395" s="120" t="s">
        <v>494</v>
      </c>
      <c r="B395" s="26">
        <f t="shared" si="18"/>
        <v>1411</v>
      </c>
      <c r="C395" s="134">
        <f>'c-10'!C132</f>
        <v>39</v>
      </c>
      <c r="D395" s="24" t="s">
        <v>374</v>
      </c>
      <c r="E395" s="117" t="s">
        <v>374</v>
      </c>
      <c r="F395" s="117" t="s">
        <v>374</v>
      </c>
      <c r="G395" s="117" t="s">
        <v>374</v>
      </c>
      <c r="H395" s="65">
        <f>'c-17'!C127</f>
        <v>98</v>
      </c>
      <c r="I395" s="64" t="s">
        <v>374</v>
      </c>
      <c r="J395" s="65">
        <f>'c-23'!C101</f>
        <v>465</v>
      </c>
      <c r="K395" s="26">
        <f>'c-24'!C88</f>
        <v>352</v>
      </c>
      <c r="L395" s="26">
        <f>'c-15'!C104</f>
        <v>457</v>
      </c>
      <c r="M395" s="117" t="s">
        <v>374</v>
      </c>
      <c r="N395" s="118" t="s">
        <v>374</v>
      </c>
      <c r="O395" s="65" t="s">
        <v>374</v>
      </c>
      <c r="P395" s="65" t="s">
        <v>374</v>
      </c>
    </row>
    <row r="396" spans="1:16" ht="15.75" customHeight="1">
      <c r="A396" s="120" t="s">
        <v>642</v>
      </c>
      <c r="B396" s="26">
        <f t="shared" si="18"/>
        <v>1096</v>
      </c>
      <c r="C396" s="134">
        <f>'c-10'!C124</f>
        <v>19</v>
      </c>
      <c r="D396" s="24" t="s">
        <v>374</v>
      </c>
      <c r="E396" s="117" t="s">
        <v>374</v>
      </c>
      <c r="F396" s="117" t="s">
        <v>374</v>
      </c>
      <c r="G396" s="117" t="s">
        <v>374</v>
      </c>
      <c r="H396" s="65">
        <f>'c-17'!C119</f>
        <v>58</v>
      </c>
      <c r="I396" s="64" t="s">
        <v>374</v>
      </c>
      <c r="J396" s="65">
        <f>'c-23'!C98</f>
        <v>446</v>
      </c>
      <c r="K396" s="26">
        <f>'c-24'!C85</f>
        <v>194</v>
      </c>
      <c r="L396" s="26">
        <f>'c-15'!C99</f>
        <v>379</v>
      </c>
      <c r="M396" s="117" t="s">
        <v>374</v>
      </c>
      <c r="N396" s="118" t="s">
        <v>374</v>
      </c>
      <c r="O396" s="65" t="s">
        <v>374</v>
      </c>
      <c r="P396" s="65" t="s">
        <v>374</v>
      </c>
    </row>
    <row r="397" spans="1:16" ht="15.75" customHeight="1">
      <c r="A397" s="120" t="s">
        <v>643</v>
      </c>
      <c r="B397" s="26">
        <f t="shared" si="18"/>
        <v>1420</v>
      </c>
      <c r="C397" s="134">
        <f>'c-10'!C133</f>
        <v>39</v>
      </c>
      <c r="D397" s="24" t="s">
        <v>374</v>
      </c>
      <c r="E397" s="117" t="s">
        <v>374</v>
      </c>
      <c r="F397" s="117" t="s">
        <v>374</v>
      </c>
      <c r="G397" s="117" t="s">
        <v>374</v>
      </c>
      <c r="H397" s="65">
        <f>'c-17'!C128</f>
        <v>64</v>
      </c>
      <c r="I397" s="64" t="s">
        <v>374</v>
      </c>
      <c r="J397" s="65">
        <f>'c-23'!C104</f>
        <v>293</v>
      </c>
      <c r="K397" s="26">
        <f>'c-24'!C91</f>
        <v>162</v>
      </c>
      <c r="L397" s="26">
        <f>'c-15'!C105</f>
        <v>353</v>
      </c>
      <c r="M397" s="117" t="s">
        <v>374</v>
      </c>
      <c r="N397" s="65">
        <f>'c-16'!C103</f>
        <v>509</v>
      </c>
      <c r="O397" s="65" t="s">
        <v>374</v>
      </c>
      <c r="P397" s="65" t="s">
        <v>374</v>
      </c>
    </row>
    <row r="398" spans="1:16" ht="15.75" customHeight="1">
      <c r="A398" s="120" t="s">
        <v>888</v>
      </c>
      <c r="B398" s="26">
        <f>SUM(C398:P398)</f>
        <v>451</v>
      </c>
      <c r="C398" s="134">
        <f>'c-10'!C134</f>
        <v>11</v>
      </c>
      <c r="D398" s="24" t="s">
        <v>374</v>
      </c>
      <c r="E398" s="117" t="s">
        <v>374</v>
      </c>
      <c r="F398" s="117" t="s">
        <v>374</v>
      </c>
      <c r="G398" s="117" t="s">
        <v>374</v>
      </c>
      <c r="H398" s="65">
        <f>'c-17'!C129</f>
        <v>16</v>
      </c>
      <c r="I398" s="64" t="s">
        <v>374</v>
      </c>
      <c r="J398" s="65">
        <f>'c-23'!C105</f>
        <v>94</v>
      </c>
      <c r="K398" s="26">
        <f>'c-24'!C92</f>
        <v>26</v>
      </c>
      <c r="L398" s="26">
        <f>'c-15'!C106</f>
        <v>153</v>
      </c>
      <c r="M398" s="117" t="s">
        <v>374</v>
      </c>
      <c r="N398" s="65">
        <f>'c-16'!C104</f>
        <v>151</v>
      </c>
      <c r="O398" s="65" t="s">
        <v>374</v>
      </c>
      <c r="P398" s="65" t="s">
        <v>374</v>
      </c>
    </row>
    <row r="399" spans="1:16" ht="15.75" customHeight="1">
      <c r="A399" s="120" t="s">
        <v>644</v>
      </c>
      <c r="B399" s="26">
        <f t="shared" si="18"/>
        <v>1573</v>
      </c>
      <c r="C399" s="134">
        <f>'c-10'!C139</f>
        <v>15</v>
      </c>
      <c r="D399" s="24" t="s">
        <v>374</v>
      </c>
      <c r="E399" s="117" t="s">
        <v>374</v>
      </c>
      <c r="F399" s="117" t="s">
        <v>374</v>
      </c>
      <c r="G399" s="117" t="s">
        <v>374</v>
      </c>
      <c r="H399" s="65">
        <f>'c-17'!C134</f>
        <v>56</v>
      </c>
      <c r="I399" s="64" t="s">
        <v>374</v>
      </c>
      <c r="J399" s="65">
        <f>'c-23'!C109</f>
        <v>391</v>
      </c>
      <c r="K399" s="24">
        <f>'c-24'!C96</f>
        <v>157</v>
      </c>
      <c r="L399" s="26">
        <f>'c-15'!C110</f>
        <v>443</v>
      </c>
      <c r="M399" s="117" t="s">
        <v>374</v>
      </c>
      <c r="N399" s="65">
        <f>'c-16'!C108</f>
        <v>511</v>
      </c>
      <c r="O399" s="65" t="s">
        <v>374</v>
      </c>
      <c r="P399" s="65" t="s">
        <v>374</v>
      </c>
    </row>
    <row r="400" spans="1:16" ht="15.75" customHeight="1">
      <c r="A400" s="120" t="s">
        <v>645</v>
      </c>
      <c r="B400" s="26">
        <f t="shared" si="18"/>
        <v>1655</v>
      </c>
      <c r="C400" s="134">
        <f>'c-10'!C140</f>
        <v>52</v>
      </c>
      <c r="D400" s="24" t="s">
        <v>374</v>
      </c>
      <c r="E400" s="117" t="s">
        <v>374</v>
      </c>
      <c r="F400" s="117" t="s">
        <v>374</v>
      </c>
      <c r="G400" s="117" t="s">
        <v>374</v>
      </c>
      <c r="H400" s="65">
        <f>'c-17'!C135</f>
        <v>49</v>
      </c>
      <c r="I400" s="64" t="s">
        <v>374</v>
      </c>
      <c r="J400" s="65">
        <f>'c-23'!C110</f>
        <v>515</v>
      </c>
      <c r="K400" s="64" t="s">
        <v>374</v>
      </c>
      <c r="L400" s="26">
        <f>'c-15'!C111</f>
        <v>492</v>
      </c>
      <c r="M400" s="117" t="s">
        <v>374</v>
      </c>
      <c r="N400" s="65">
        <f>'c-16'!C109</f>
        <v>547</v>
      </c>
      <c r="O400" s="65" t="s">
        <v>374</v>
      </c>
      <c r="P400" s="65" t="s">
        <v>374</v>
      </c>
    </row>
    <row r="401" spans="1:18" ht="15.75" customHeight="1">
      <c r="A401" s="120" t="s">
        <v>646</v>
      </c>
      <c r="B401" s="26">
        <f t="shared" si="18"/>
        <v>1555</v>
      </c>
      <c r="C401" s="134">
        <f>'c-10'!C145</f>
        <v>15</v>
      </c>
      <c r="D401" s="24" t="s">
        <v>374</v>
      </c>
      <c r="E401" s="117" t="s">
        <v>374</v>
      </c>
      <c r="F401" s="117" t="s">
        <v>374</v>
      </c>
      <c r="G401" s="117" t="s">
        <v>374</v>
      </c>
      <c r="H401" s="65">
        <f>'c-17'!C140</f>
        <v>50</v>
      </c>
      <c r="I401" s="64" t="s">
        <v>374</v>
      </c>
      <c r="J401" s="65">
        <f>'c-23'!C114</f>
        <v>543</v>
      </c>
      <c r="K401" s="64" t="s">
        <v>374</v>
      </c>
      <c r="L401" s="26">
        <f>'c-15'!C115</f>
        <v>589</v>
      </c>
      <c r="M401" s="117" t="s">
        <v>374</v>
      </c>
      <c r="N401" s="65">
        <f>'c-16'!C114</f>
        <v>358</v>
      </c>
      <c r="O401" s="65" t="s">
        <v>374</v>
      </c>
      <c r="P401" s="65" t="s">
        <v>374</v>
      </c>
    </row>
    <row r="402" spans="1:18" ht="15.75" customHeight="1">
      <c r="A402" s="120" t="s">
        <v>481</v>
      </c>
      <c r="B402" s="26">
        <f t="shared" si="18"/>
        <v>815</v>
      </c>
      <c r="C402" s="134">
        <f>'c-10'!C146</f>
        <v>47</v>
      </c>
      <c r="D402" s="24" t="s">
        <v>374</v>
      </c>
      <c r="E402" s="117" t="s">
        <v>374</v>
      </c>
      <c r="F402" s="117" t="s">
        <v>374</v>
      </c>
      <c r="G402" s="117" t="s">
        <v>374</v>
      </c>
      <c r="H402" s="65">
        <f>'c-17'!C141</f>
        <v>133</v>
      </c>
      <c r="I402" s="64" t="s">
        <v>374</v>
      </c>
      <c r="J402" s="65">
        <f>'c-23'!C115</f>
        <v>635</v>
      </c>
      <c r="K402" s="64" t="s">
        <v>374</v>
      </c>
      <c r="L402" s="117" t="s">
        <v>374</v>
      </c>
      <c r="M402" s="117" t="s">
        <v>374</v>
      </c>
      <c r="N402" s="117" t="s">
        <v>374</v>
      </c>
      <c r="O402" s="65" t="s">
        <v>374</v>
      </c>
      <c r="P402" s="65" t="s">
        <v>374</v>
      </c>
    </row>
    <row r="403" spans="1:18" ht="15.75" customHeight="1">
      <c r="A403" s="120"/>
      <c r="B403" s="64"/>
      <c r="C403" s="24"/>
      <c r="D403" s="121"/>
      <c r="E403" s="117"/>
      <c r="F403" s="117"/>
      <c r="G403" s="117"/>
      <c r="H403" s="141"/>
      <c r="I403" s="64"/>
      <c r="J403" s="121"/>
      <c r="K403" s="117"/>
      <c r="L403" s="117"/>
      <c r="M403" s="117"/>
      <c r="N403" s="141"/>
      <c r="O403" s="65"/>
      <c r="P403" s="65"/>
    </row>
    <row r="404" spans="1:18" ht="15.75" customHeight="1">
      <c r="A404" s="106" t="s">
        <v>647</v>
      </c>
      <c r="B404" s="122">
        <f>SUM(B406:B408)</f>
        <v>8018</v>
      </c>
      <c r="C404" s="122">
        <f>SUM(C406:C408)</f>
        <v>315</v>
      </c>
      <c r="D404" s="122">
        <f>SUM(D406:D408)</f>
        <v>5193</v>
      </c>
      <c r="E404" s="122" t="str">
        <f>+E407</f>
        <v>-</v>
      </c>
      <c r="F404" s="122" t="str">
        <f>+F407</f>
        <v>-</v>
      </c>
      <c r="G404" s="122" t="str">
        <f>+G407</f>
        <v>-</v>
      </c>
      <c r="H404" s="142">
        <f>SUM(H406:H408)</f>
        <v>496</v>
      </c>
      <c r="I404" s="122" t="str">
        <f>+I407</f>
        <v>-</v>
      </c>
      <c r="J404" s="122" t="str">
        <f>+J407</f>
        <v>-</v>
      </c>
      <c r="K404" s="122">
        <f>SUM(K406:K408)</f>
        <v>2014</v>
      </c>
      <c r="L404" s="122" t="str">
        <f>+L407</f>
        <v>-</v>
      </c>
      <c r="M404" s="122" t="str">
        <f>+M407</f>
        <v>-</v>
      </c>
      <c r="N404" s="122" t="str">
        <f>+N407</f>
        <v>-</v>
      </c>
      <c r="O404" s="142" t="str">
        <f>+O407</f>
        <v>-</v>
      </c>
      <c r="P404" s="142" t="str">
        <f>+P407</f>
        <v>-</v>
      </c>
    </row>
    <row r="405" spans="1:18" ht="15.75" customHeight="1">
      <c r="A405" s="120"/>
      <c r="B405" s="64"/>
      <c r="C405" s="24"/>
      <c r="D405" s="121"/>
      <c r="E405" s="117"/>
      <c r="F405" s="117"/>
      <c r="G405" s="117"/>
      <c r="H405" s="121"/>
      <c r="I405" s="117"/>
      <c r="J405" s="121"/>
      <c r="K405" s="117"/>
      <c r="L405" s="117"/>
      <c r="M405" s="117"/>
      <c r="N405" s="141"/>
      <c r="O405" s="65"/>
      <c r="P405" s="65"/>
    </row>
    <row r="406" spans="1:18" ht="15.75" customHeight="1">
      <c r="A406" s="120" t="s">
        <v>648</v>
      </c>
      <c r="B406" s="26">
        <f>SUM(C406:P406)</f>
        <v>3545</v>
      </c>
      <c r="C406" s="24">
        <f>'c-10'!C92</f>
        <v>102</v>
      </c>
      <c r="D406" s="121">
        <f>'c-11'!C37</f>
        <v>2192</v>
      </c>
      <c r="E406" s="117" t="s">
        <v>374</v>
      </c>
      <c r="F406" s="117" t="s">
        <v>374</v>
      </c>
      <c r="G406" s="117" t="s">
        <v>374</v>
      </c>
      <c r="H406" s="117">
        <f>'c-17'!C86</f>
        <v>309</v>
      </c>
      <c r="I406" s="117" t="s">
        <v>374</v>
      </c>
      <c r="J406" s="117" t="s">
        <v>374</v>
      </c>
      <c r="K406" s="51">
        <f>'c-24'!C60</f>
        <v>942</v>
      </c>
      <c r="L406" s="117" t="s">
        <v>374</v>
      </c>
      <c r="M406" s="117" t="s">
        <v>374</v>
      </c>
      <c r="N406" s="117" t="s">
        <v>374</v>
      </c>
      <c r="O406" s="118" t="s">
        <v>374</v>
      </c>
      <c r="P406" s="66" t="s">
        <v>374</v>
      </c>
    </row>
    <row r="407" spans="1:18" ht="15.75" customHeight="1">
      <c r="A407" s="120" t="s">
        <v>649</v>
      </c>
      <c r="B407" s="26">
        <f>SUM(C407:P407)</f>
        <v>891</v>
      </c>
      <c r="C407" s="24">
        <f>'c-10'!C102</f>
        <v>213</v>
      </c>
      <c r="D407" s="121" t="s">
        <v>374</v>
      </c>
      <c r="E407" s="117" t="s">
        <v>374</v>
      </c>
      <c r="F407" s="117" t="s">
        <v>374</v>
      </c>
      <c r="G407" s="117" t="s">
        <v>374</v>
      </c>
      <c r="H407" s="24">
        <f>'c-17'!C97</f>
        <v>187</v>
      </c>
      <c r="I407" s="117" t="s">
        <v>374</v>
      </c>
      <c r="J407" s="117" t="s">
        <v>374</v>
      </c>
      <c r="K407" s="117">
        <f>'c-24'!C68</f>
        <v>491</v>
      </c>
      <c r="L407" s="117" t="s">
        <v>374</v>
      </c>
      <c r="M407" s="117" t="s">
        <v>374</v>
      </c>
      <c r="N407" s="117" t="s">
        <v>374</v>
      </c>
      <c r="O407" s="65" t="s">
        <v>374</v>
      </c>
      <c r="P407" s="65" t="s">
        <v>374</v>
      </c>
    </row>
    <row r="408" spans="1:18" ht="15.75" customHeight="1">
      <c r="A408" s="120" t="s">
        <v>500</v>
      </c>
      <c r="B408" s="26">
        <f>SUM(C408:P408)</f>
        <v>3582</v>
      </c>
      <c r="C408" s="53" t="s">
        <v>374</v>
      </c>
      <c r="D408" s="26">
        <f>'c-11'!C40</f>
        <v>3001</v>
      </c>
      <c r="E408" s="64" t="s">
        <v>374</v>
      </c>
      <c r="F408" s="117" t="s">
        <v>374</v>
      </c>
      <c r="G408" s="117" t="s">
        <v>374</v>
      </c>
      <c r="H408" s="117" t="s">
        <v>374</v>
      </c>
      <c r="I408" s="117" t="s">
        <v>374</v>
      </c>
      <c r="J408" s="117" t="s">
        <v>374</v>
      </c>
      <c r="K408" s="21">
        <f>'c-24'!C69</f>
        <v>581</v>
      </c>
      <c r="L408" s="64" t="s">
        <v>374</v>
      </c>
      <c r="M408" s="117" t="s">
        <v>374</v>
      </c>
      <c r="N408" s="117" t="s">
        <v>374</v>
      </c>
      <c r="O408" s="118" t="s">
        <v>374</v>
      </c>
      <c r="P408" s="66" t="s">
        <v>374</v>
      </c>
    </row>
    <row r="409" spans="1:18" s="91" customFormat="1" ht="15.75" customHeight="1">
      <c r="A409" s="113"/>
      <c r="B409" s="26"/>
      <c r="C409" s="26"/>
      <c r="D409" s="51"/>
      <c r="E409" s="117"/>
      <c r="F409" s="51"/>
      <c r="G409" s="117"/>
      <c r="H409" s="51"/>
      <c r="I409" s="117"/>
      <c r="J409" s="51"/>
      <c r="K409" s="51"/>
      <c r="L409" s="117"/>
      <c r="M409" s="51"/>
      <c r="N409" s="21"/>
      <c r="O409" s="65"/>
      <c r="P409" s="65"/>
      <c r="R409" s="35"/>
    </row>
    <row r="410" spans="1:18" ht="15.75" customHeight="1">
      <c r="A410" s="106" t="s">
        <v>650</v>
      </c>
      <c r="B410" s="62">
        <f>SUM(B412:B480)</f>
        <v>176569</v>
      </c>
      <c r="C410" s="97" t="s">
        <v>374</v>
      </c>
      <c r="D410" s="97" t="s">
        <v>374</v>
      </c>
      <c r="E410" s="97" t="s">
        <v>374</v>
      </c>
      <c r="F410" s="97" t="s">
        <v>374</v>
      </c>
      <c r="G410" s="97" t="s">
        <v>374</v>
      </c>
      <c r="H410" s="97" t="s">
        <v>374</v>
      </c>
      <c r="I410" s="62">
        <f>SUM(I412:I480)</f>
        <v>167252</v>
      </c>
      <c r="J410" s="97" t="s">
        <v>374</v>
      </c>
      <c r="K410" s="97" t="s">
        <v>374</v>
      </c>
      <c r="L410" s="97" t="s">
        <v>374</v>
      </c>
      <c r="M410" s="62">
        <f>SUM(M412:M480)</f>
        <v>9317</v>
      </c>
      <c r="N410" s="98" t="s">
        <v>374</v>
      </c>
      <c r="O410" s="112" t="s">
        <v>374</v>
      </c>
      <c r="P410" s="112" t="s">
        <v>374</v>
      </c>
    </row>
    <row r="411" spans="1:18" ht="15.75" customHeight="1">
      <c r="A411" s="120"/>
      <c r="B411" s="64"/>
      <c r="C411" s="117"/>
      <c r="D411" s="117"/>
      <c r="E411" s="117"/>
      <c r="F411" s="117"/>
      <c r="G411" s="117"/>
      <c r="H411" s="117"/>
      <c r="I411" s="50"/>
      <c r="J411" s="117"/>
      <c r="K411" s="117"/>
      <c r="L411" s="117"/>
      <c r="M411" s="117"/>
      <c r="N411" s="118"/>
      <c r="O411" s="65"/>
      <c r="P411" s="65"/>
    </row>
    <row r="412" spans="1:18" ht="15.75" customHeight="1">
      <c r="A412" s="120" t="s">
        <v>1019</v>
      </c>
      <c r="B412" s="26">
        <f t="shared" ref="B412:B480" si="19">SUM(C412:P412)</f>
        <v>9297</v>
      </c>
      <c r="C412" s="117" t="s">
        <v>374</v>
      </c>
      <c r="D412" s="117" t="s">
        <v>374</v>
      </c>
      <c r="E412" s="117" t="s">
        <v>374</v>
      </c>
      <c r="F412" s="117" t="s">
        <v>374</v>
      </c>
      <c r="G412" s="117" t="s">
        <v>374</v>
      </c>
      <c r="H412" s="117" t="s">
        <v>374</v>
      </c>
      <c r="I412" s="24">
        <f>'c-18'!C12</f>
        <v>9297</v>
      </c>
      <c r="J412" s="117" t="s">
        <v>374</v>
      </c>
      <c r="K412" s="117" t="s">
        <v>374</v>
      </c>
      <c r="L412" s="117" t="s">
        <v>374</v>
      </c>
      <c r="M412" s="117" t="s">
        <v>374</v>
      </c>
      <c r="N412" s="118" t="s">
        <v>374</v>
      </c>
      <c r="O412" s="65" t="s">
        <v>374</v>
      </c>
      <c r="P412" s="65" t="s">
        <v>374</v>
      </c>
    </row>
    <row r="413" spans="1:18" ht="15.75" customHeight="1">
      <c r="A413" s="120" t="s">
        <v>1020</v>
      </c>
      <c r="B413" s="26">
        <f t="shared" si="19"/>
        <v>3800</v>
      </c>
      <c r="C413" s="117" t="s">
        <v>374</v>
      </c>
      <c r="D413" s="117" t="s">
        <v>374</v>
      </c>
      <c r="E413" s="117" t="s">
        <v>374</v>
      </c>
      <c r="F413" s="117" t="s">
        <v>374</v>
      </c>
      <c r="G413" s="117" t="s">
        <v>374</v>
      </c>
      <c r="H413" s="117" t="s">
        <v>374</v>
      </c>
      <c r="I413" s="24">
        <f>'c-18'!C13</f>
        <v>3800</v>
      </c>
      <c r="J413" s="117" t="s">
        <v>374</v>
      </c>
      <c r="K413" s="117" t="s">
        <v>374</v>
      </c>
      <c r="L413" s="117" t="s">
        <v>374</v>
      </c>
      <c r="M413" s="117" t="s">
        <v>374</v>
      </c>
      <c r="N413" s="118" t="s">
        <v>374</v>
      </c>
      <c r="O413" s="65" t="s">
        <v>374</v>
      </c>
      <c r="P413" s="65" t="s">
        <v>374</v>
      </c>
    </row>
    <row r="414" spans="1:18" ht="15.6">
      <c r="A414" s="120" t="s">
        <v>1021</v>
      </c>
      <c r="B414" s="26">
        <f t="shared" si="19"/>
        <v>3601</v>
      </c>
      <c r="C414" s="117" t="s">
        <v>374</v>
      </c>
      <c r="D414" s="117" t="s">
        <v>374</v>
      </c>
      <c r="E414" s="117" t="s">
        <v>374</v>
      </c>
      <c r="F414" s="117" t="s">
        <v>374</v>
      </c>
      <c r="G414" s="117" t="s">
        <v>374</v>
      </c>
      <c r="H414" s="117" t="s">
        <v>374</v>
      </c>
      <c r="I414" s="24">
        <f>'c-18'!C14</f>
        <v>3601</v>
      </c>
      <c r="J414" s="117" t="s">
        <v>374</v>
      </c>
      <c r="K414" s="117" t="s">
        <v>374</v>
      </c>
      <c r="L414" s="117" t="s">
        <v>374</v>
      </c>
      <c r="M414" s="117" t="s">
        <v>374</v>
      </c>
      <c r="N414" s="118" t="s">
        <v>374</v>
      </c>
      <c r="O414" s="65" t="s">
        <v>374</v>
      </c>
      <c r="P414" s="65" t="s">
        <v>374</v>
      </c>
    </row>
    <row r="415" spans="1:18" ht="15.75" customHeight="1">
      <c r="A415" s="120" t="s">
        <v>1022</v>
      </c>
      <c r="B415" s="26">
        <f t="shared" si="19"/>
        <v>151</v>
      </c>
      <c r="C415" s="117" t="s">
        <v>374</v>
      </c>
      <c r="D415" s="117" t="s">
        <v>374</v>
      </c>
      <c r="E415" s="117" t="s">
        <v>374</v>
      </c>
      <c r="F415" s="117" t="s">
        <v>374</v>
      </c>
      <c r="G415" s="117" t="s">
        <v>374</v>
      </c>
      <c r="H415" s="117" t="s">
        <v>374</v>
      </c>
      <c r="I415" s="24">
        <f>'c-18'!C15</f>
        <v>151</v>
      </c>
      <c r="J415" s="117" t="s">
        <v>374</v>
      </c>
      <c r="K415" s="117" t="s">
        <v>374</v>
      </c>
      <c r="L415" s="117" t="s">
        <v>374</v>
      </c>
      <c r="M415" s="117" t="s">
        <v>374</v>
      </c>
      <c r="N415" s="118" t="s">
        <v>374</v>
      </c>
      <c r="O415" s="65" t="s">
        <v>374</v>
      </c>
      <c r="P415" s="65" t="s">
        <v>374</v>
      </c>
    </row>
    <row r="416" spans="1:18" ht="15.75" customHeight="1">
      <c r="A416" s="120" t="s">
        <v>1023</v>
      </c>
      <c r="B416" s="26">
        <f t="shared" si="19"/>
        <v>171</v>
      </c>
      <c r="C416" s="117" t="s">
        <v>374</v>
      </c>
      <c r="D416" s="117" t="s">
        <v>374</v>
      </c>
      <c r="E416" s="117" t="s">
        <v>374</v>
      </c>
      <c r="F416" s="117" t="s">
        <v>374</v>
      </c>
      <c r="G416" s="117" t="s">
        <v>374</v>
      </c>
      <c r="H416" s="117" t="s">
        <v>374</v>
      </c>
      <c r="I416" s="24">
        <f>'c-18'!C16</f>
        <v>171</v>
      </c>
      <c r="J416" s="117" t="s">
        <v>374</v>
      </c>
      <c r="K416" s="117" t="s">
        <v>374</v>
      </c>
      <c r="L416" s="117" t="s">
        <v>374</v>
      </c>
      <c r="M416" s="117" t="s">
        <v>374</v>
      </c>
      <c r="N416" s="118" t="s">
        <v>374</v>
      </c>
      <c r="O416" s="65" t="s">
        <v>374</v>
      </c>
      <c r="P416" s="65" t="s">
        <v>374</v>
      </c>
    </row>
    <row r="417" spans="1:16" ht="15.75" customHeight="1">
      <c r="A417" s="116" t="s">
        <v>1024</v>
      </c>
      <c r="B417" s="26">
        <f t="shared" si="19"/>
        <v>76</v>
      </c>
      <c r="C417" s="117" t="s">
        <v>374</v>
      </c>
      <c r="D417" s="117" t="s">
        <v>374</v>
      </c>
      <c r="E417" s="117" t="s">
        <v>374</v>
      </c>
      <c r="F417" s="117" t="s">
        <v>374</v>
      </c>
      <c r="G417" s="117" t="s">
        <v>374</v>
      </c>
      <c r="H417" s="117" t="s">
        <v>374</v>
      </c>
      <c r="I417" s="24">
        <f>'c-18'!C17</f>
        <v>76</v>
      </c>
      <c r="J417" s="117" t="s">
        <v>374</v>
      </c>
      <c r="K417" s="117" t="s">
        <v>374</v>
      </c>
      <c r="L417" s="117" t="s">
        <v>374</v>
      </c>
      <c r="M417" s="117" t="s">
        <v>374</v>
      </c>
      <c r="N417" s="117" t="s">
        <v>374</v>
      </c>
      <c r="O417" s="117" t="s">
        <v>374</v>
      </c>
      <c r="P417" s="65" t="s">
        <v>374</v>
      </c>
    </row>
    <row r="418" spans="1:16" ht="15.75" customHeight="1">
      <c r="A418" s="116" t="s">
        <v>1025</v>
      </c>
      <c r="B418" s="26">
        <f t="shared" si="19"/>
        <v>1713</v>
      </c>
      <c r="C418" s="117" t="s">
        <v>374</v>
      </c>
      <c r="D418" s="117" t="s">
        <v>374</v>
      </c>
      <c r="E418" s="117" t="s">
        <v>374</v>
      </c>
      <c r="F418" s="117" t="s">
        <v>374</v>
      </c>
      <c r="G418" s="117" t="s">
        <v>374</v>
      </c>
      <c r="H418" s="117" t="s">
        <v>374</v>
      </c>
      <c r="I418" s="24">
        <f>'c-18'!C18</f>
        <v>1713</v>
      </c>
      <c r="J418" s="117" t="s">
        <v>374</v>
      </c>
      <c r="K418" s="117" t="s">
        <v>374</v>
      </c>
      <c r="L418" s="117" t="s">
        <v>374</v>
      </c>
      <c r="M418" s="117" t="s">
        <v>374</v>
      </c>
      <c r="N418" s="117" t="s">
        <v>374</v>
      </c>
      <c r="O418" s="117" t="s">
        <v>374</v>
      </c>
      <c r="P418" s="65" t="s">
        <v>374</v>
      </c>
    </row>
    <row r="419" spans="1:16" ht="15.75" customHeight="1">
      <c r="A419" s="116" t="s">
        <v>1026</v>
      </c>
      <c r="B419" s="26">
        <f t="shared" si="19"/>
        <v>2360</v>
      </c>
      <c r="C419" s="117" t="s">
        <v>374</v>
      </c>
      <c r="D419" s="117" t="s">
        <v>374</v>
      </c>
      <c r="E419" s="117" t="s">
        <v>374</v>
      </c>
      <c r="F419" s="117" t="s">
        <v>374</v>
      </c>
      <c r="G419" s="117" t="s">
        <v>374</v>
      </c>
      <c r="H419" s="117" t="s">
        <v>374</v>
      </c>
      <c r="I419" s="24">
        <f>'c-18'!C19</f>
        <v>2360</v>
      </c>
      <c r="J419" s="117" t="s">
        <v>374</v>
      </c>
      <c r="K419" s="117" t="s">
        <v>374</v>
      </c>
      <c r="L419" s="117" t="s">
        <v>374</v>
      </c>
      <c r="M419" s="117" t="s">
        <v>374</v>
      </c>
      <c r="N419" s="117" t="s">
        <v>374</v>
      </c>
      <c r="O419" s="117" t="s">
        <v>374</v>
      </c>
      <c r="P419" s="65" t="s">
        <v>374</v>
      </c>
    </row>
    <row r="420" spans="1:16" ht="15.75" customHeight="1">
      <c r="A420" s="116" t="s">
        <v>1027</v>
      </c>
      <c r="B420" s="26">
        <f t="shared" si="19"/>
        <v>586</v>
      </c>
      <c r="C420" s="117" t="s">
        <v>374</v>
      </c>
      <c r="D420" s="117" t="s">
        <v>374</v>
      </c>
      <c r="E420" s="117" t="s">
        <v>374</v>
      </c>
      <c r="F420" s="117" t="s">
        <v>374</v>
      </c>
      <c r="G420" s="117" t="s">
        <v>374</v>
      </c>
      <c r="H420" s="117" t="s">
        <v>374</v>
      </c>
      <c r="I420" s="24">
        <f>'c-18'!C20</f>
        <v>586</v>
      </c>
      <c r="J420" s="117" t="s">
        <v>374</v>
      </c>
      <c r="K420" s="117" t="s">
        <v>374</v>
      </c>
      <c r="L420" s="117" t="s">
        <v>374</v>
      </c>
      <c r="M420" s="117" t="s">
        <v>374</v>
      </c>
      <c r="N420" s="117" t="s">
        <v>374</v>
      </c>
      <c r="O420" s="117" t="s">
        <v>374</v>
      </c>
      <c r="P420" s="65" t="s">
        <v>374</v>
      </c>
    </row>
    <row r="421" spans="1:16" ht="15.75" customHeight="1">
      <c r="A421" s="116" t="s">
        <v>1028</v>
      </c>
      <c r="B421" s="26">
        <f t="shared" si="19"/>
        <v>37</v>
      </c>
      <c r="C421" s="117" t="s">
        <v>374</v>
      </c>
      <c r="D421" s="117" t="s">
        <v>374</v>
      </c>
      <c r="E421" s="117" t="s">
        <v>374</v>
      </c>
      <c r="F421" s="117" t="s">
        <v>374</v>
      </c>
      <c r="G421" s="117" t="s">
        <v>374</v>
      </c>
      <c r="H421" s="117" t="s">
        <v>374</v>
      </c>
      <c r="I421" s="24">
        <f>'c-18'!C21</f>
        <v>37</v>
      </c>
      <c r="J421" s="117" t="s">
        <v>374</v>
      </c>
      <c r="K421" s="117" t="s">
        <v>374</v>
      </c>
      <c r="L421" s="117" t="s">
        <v>374</v>
      </c>
      <c r="M421" s="117" t="s">
        <v>374</v>
      </c>
      <c r="N421" s="117" t="s">
        <v>374</v>
      </c>
      <c r="O421" s="117" t="s">
        <v>374</v>
      </c>
      <c r="P421" s="65" t="s">
        <v>374</v>
      </c>
    </row>
    <row r="422" spans="1:16" ht="15.75" customHeight="1">
      <c r="A422" s="116" t="s">
        <v>1029</v>
      </c>
      <c r="B422" s="26">
        <f t="shared" si="19"/>
        <v>39</v>
      </c>
      <c r="C422" s="117" t="s">
        <v>374</v>
      </c>
      <c r="D422" s="117" t="s">
        <v>374</v>
      </c>
      <c r="E422" s="117" t="s">
        <v>374</v>
      </c>
      <c r="F422" s="117" t="s">
        <v>374</v>
      </c>
      <c r="G422" s="117" t="s">
        <v>374</v>
      </c>
      <c r="H422" s="117" t="s">
        <v>374</v>
      </c>
      <c r="I422" s="24">
        <f>'c-18'!C22</f>
        <v>39</v>
      </c>
      <c r="J422" s="117" t="s">
        <v>374</v>
      </c>
      <c r="K422" s="117" t="s">
        <v>374</v>
      </c>
      <c r="L422" s="117" t="s">
        <v>374</v>
      </c>
      <c r="M422" s="117" t="s">
        <v>374</v>
      </c>
      <c r="N422" s="117" t="s">
        <v>374</v>
      </c>
      <c r="O422" s="117" t="s">
        <v>374</v>
      </c>
      <c r="P422" s="65" t="s">
        <v>374</v>
      </c>
    </row>
    <row r="423" spans="1:16" ht="15.75" customHeight="1">
      <c r="A423" s="116" t="s">
        <v>1030</v>
      </c>
      <c r="B423" s="26">
        <f t="shared" si="19"/>
        <v>1319</v>
      </c>
      <c r="C423" s="117" t="s">
        <v>374</v>
      </c>
      <c r="D423" s="117" t="s">
        <v>374</v>
      </c>
      <c r="E423" s="117" t="s">
        <v>374</v>
      </c>
      <c r="F423" s="117" t="s">
        <v>374</v>
      </c>
      <c r="G423" s="117" t="s">
        <v>374</v>
      </c>
      <c r="H423" s="117" t="s">
        <v>374</v>
      </c>
      <c r="I423" s="24">
        <f>'c-18'!C23</f>
        <v>1262</v>
      </c>
      <c r="J423" s="117" t="s">
        <v>374</v>
      </c>
      <c r="K423" s="117" t="s">
        <v>374</v>
      </c>
      <c r="L423" s="117" t="s">
        <v>374</v>
      </c>
      <c r="M423" s="117">
        <f>'c-21'!C13</f>
        <v>57</v>
      </c>
      <c r="N423" s="117" t="s">
        <v>374</v>
      </c>
      <c r="O423" s="117" t="s">
        <v>374</v>
      </c>
      <c r="P423" s="65" t="s">
        <v>374</v>
      </c>
    </row>
    <row r="424" spans="1:16" ht="15.75" customHeight="1">
      <c r="A424" s="120" t="s">
        <v>470</v>
      </c>
      <c r="B424" s="26">
        <f t="shared" si="19"/>
        <v>12172</v>
      </c>
      <c r="C424" s="117" t="s">
        <v>374</v>
      </c>
      <c r="D424" s="117" t="s">
        <v>374</v>
      </c>
      <c r="E424" s="117" t="s">
        <v>374</v>
      </c>
      <c r="F424" s="117" t="s">
        <v>374</v>
      </c>
      <c r="G424" s="117" t="s">
        <v>374</v>
      </c>
      <c r="H424" s="117" t="s">
        <v>374</v>
      </c>
      <c r="I424" s="24">
        <f>'c-18'!C26</f>
        <v>12172</v>
      </c>
      <c r="J424" s="117" t="s">
        <v>374</v>
      </c>
      <c r="K424" s="117" t="s">
        <v>374</v>
      </c>
      <c r="L424" s="117" t="s">
        <v>374</v>
      </c>
      <c r="M424" s="117" t="s">
        <v>374</v>
      </c>
      <c r="N424" s="118" t="s">
        <v>374</v>
      </c>
      <c r="O424" s="65" t="s">
        <v>374</v>
      </c>
      <c r="P424" s="65" t="s">
        <v>374</v>
      </c>
    </row>
    <row r="425" spans="1:16" ht="15.75" customHeight="1">
      <c r="A425" s="120" t="s">
        <v>471</v>
      </c>
      <c r="B425" s="26">
        <f t="shared" si="19"/>
        <v>872</v>
      </c>
      <c r="C425" s="117" t="s">
        <v>374</v>
      </c>
      <c r="D425" s="117" t="s">
        <v>374</v>
      </c>
      <c r="E425" s="117" t="s">
        <v>374</v>
      </c>
      <c r="F425" s="117" t="s">
        <v>374</v>
      </c>
      <c r="G425" s="117" t="s">
        <v>374</v>
      </c>
      <c r="H425" s="117" t="s">
        <v>374</v>
      </c>
      <c r="I425" s="24">
        <f>'c-18'!C27</f>
        <v>872</v>
      </c>
      <c r="J425" s="117" t="s">
        <v>374</v>
      </c>
      <c r="K425" s="117" t="s">
        <v>374</v>
      </c>
      <c r="L425" s="117" t="s">
        <v>374</v>
      </c>
      <c r="M425" s="117" t="s">
        <v>374</v>
      </c>
      <c r="N425" s="118" t="s">
        <v>374</v>
      </c>
      <c r="O425" s="65" t="s">
        <v>374</v>
      </c>
      <c r="P425" s="65" t="s">
        <v>374</v>
      </c>
    </row>
    <row r="426" spans="1:16" ht="15.75" customHeight="1">
      <c r="A426" s="120" t="s">
        <v>472</v>
      </c>
      <c r="B426" s="26">
        <f t="shared" si="19"/>
        <v>3397</v>
      </c>
      <c r="C426" s="117" t="s">
        <v>374</v>
      </c>
      <c r="D426" s="117" t="s">
        <v>374</v>
      </c>
      <c r="E426" s="117" t="s">
        <v>374</v>
      </c>
      <c r="F426" s="117" t="s">
        <v>374</v>
      </c>
      <c r="G426" s="117" t="s">
        <v>374</v>
      </c>
      <c r="H426" s="117" t="s">
        <v>374</v>
      </c>
      <c r="I426" s="24">
        <f>'c-18'!C30</f>
        <v>3397</v>
      </c>
      <c r="J426" s="117" t="s">
        <v>374</v>
      </c>
      <c r="K426" s="117" t="s">
        <v>374</v>
      </c>
      <c r="L426" s="117" t="s">
        <v>374</v>
      </c>
      <c r="M426" s="117" t="s">
        <v>374</v>
      </c>
      <c r="N426" s="118" t="s">
        <v>374</v>
      </c>
      <c r="O426" s="65" t="s">
        <v>374</v>
      </c>
      <c r="P426" s="65" t="s">
        <v>374</v>
      </c>
    </row>
    <row r="427" spans="1:16" ht="15.75" customHeight="1">
      <c r="A427" s="120" t="s">
        <v>892</v>
      </c>
      <c r="B427" s="26">
        <f t="shared" si="19"/>
        <v>4893</v>
      </c>
      <c r="C427" s="117" t="s">
        <v>374</v>
      </c>
      <c r="D427" s="117" t="s">
        <v>374</v>
      </c>
      <c r="E427" s="117" t="s">
        <v>374</v>
      </c>
      <c r="F427" s="117" t="s">
        <v>374</v>
      </c>
      <c r="G427" s="117" t="s">
        <v>374</v>
      </c>
      <c r="H427" s="117" t="s">
        <v>374</v>
      </c>
      <c r="I427" s="24">
        <f>'c-18'!C31</f>
        <v>4893</v>
      </c>
      <c r="J427" s="117" t="s">
        <v>374</v>
      </c>
      <c r="K427" s="117" t="s">
        <v>374</v>
      </c>
      <c r="L427" s="117" t="s">
        <v>374</v>
      </c>
      <c r="M427" s="117" t="s">
        <v>374</v>
      </c>
      <c r="N427" s="118" t="s">
        <v>374</v>
      </c>
      <c r="O427" s="65" t="s">
        <v>374</v>
      </c>
      <c r="P427" s="65" t="s">
        <v>374</v>
      </c>
    </row>
    <row r="428" spans="1:16" ht="15.75" customHeight="1">
      <c r="A428" s="120" t="s">
        <v>473</v>
      </c>
      <c r="B428" s="26">
        <f t="shared" si="19"/>
        <v>3590</v>
      </c>
      <c r="C428" s="117" t="s">
        <v>374</v>
      </c>
      <c r="D428" s="117" t="s">
        <v>374</v>
      </c>
      <c r="E428" s="117" t="s">
        <v>374</v>
      </c>
      <c r="F428" s="117" t="s">
        <v>374</v>
      </c>
      <c r="G428" s="117" t="s">
        <v>374</v>
      </c>
      <c r="H428" s="117" t="s">
        <v>374</v>
      </c>
      <c r="I428" s="24">
        <f>'c-18'!C32</f>
        <v>3590</v>
      </c>
      <c r="J428" s="117" t="s">
        <v>374</v>
      </c>
      <c r="K428" s="117" t="s">
        <v>374</v>
      </c>
      <c r="L428" s="117" t="s">
        <v>374</v>
      </c>
      <c r="M428" s="117" t="s">
        <v>374</v>
      </c>
      <c r="N428" s="118" t="s">
        <v>374</v>
      </c>
      <c r="O428" s="65" t="s">
        <v>374</v>
      </c>
      <c r="P428" s="65" t="s">
        <v>374</v>
      </c>
    </row>
    <row r="429" spans="1:16" ht="15.75" customHeight="1">
      <c r="A429" s="120" t="s">
        <v>474</v>
      </c>
      <c r="B429" s="26">
        <f t="shared" si="19"/>
        <v>720</v>
      </c>
      <c r="C429" s="117" t="s">
        <v>374</v>
      </c>
      <c r="D429" s="117" t="s">
        <v>374</v>
      </c>
      <c r="E429" s="117" t="s">
        <v>374</v>
      </c>
      <c r="F429" s="117" t="s">
        <v>374</v>
      </c>
      <c r="G429" s="117" t="s">
        <v>374</v>
      </c>
      <c r="H429" s="117" t="s">
        <v>374</v>
      </c>
      <c r="I429" s="24">
        <f>'c-18'!C33</f>
        <v>720</v>
      </c>
      <c r="J429" s="117" t="s">
        <v>374</v>
      </c>
      <c r="K429" s="117" t="s">
        <v>374</v>
      </c>
      <c r="L429" s="117" t="s">
        <v>374</v>
      </c>
      <c r="M429" s="64" t="s">
        <v>374</v>
      </c>
      <c r="N429" s="118" t="s">
        <v>374</v>
      </c>
      <c r="O429" s="65" t="s">
        <v>374</v>
      </c>
      <c r="P429" s="65" t="s">
        <v>374</v>
      </c>
    </row>
    <row r="430" spans="1:16" ht="15.75" customHeight="1">
      <c r="A430" s="131" t="s">
        <v>475</v>
      </c>
      <c r="B430" s="26">
        <f t="shared" si="19"/>
        <v>3232</v>
      </c>
      <c r="C430" s="117" t="s">
        <v>374</v>
      </c>
      <c r="D430" s="117" t="s">
        <v>374</v>
      </c>
      <c r="E430" s="117" t="s">
        <v>374</v>
      </c>
      <c r="F430" s="117" t="s">
        <v>374</v>
      </c>
      <c r="G430" s="117" t="s">
        <v>374</v>
      </c>
      <c r="H430" s="117" t="s">
        <v>374</v>
      </c>
      <c r="I430" s="24" t="s">
        <v>374</v>
      </c>
      <c r="J430" s="117" t="s">
        <v>374</v>
      </c>
      <c r="K430" s="117" t="s">
        <v>374</v>
      </c>
      <c r="L430" s="117" t="s">
        <v>374</v>
      </c>
      <c r="M430" s="64">
        <f>'c-21'!C12</f>
        <v>3232</v>
      </c>
      <c r="N430" s="118" t="s">
        <v>374</v>
      </c>
      <c r="O430" s="65" t="s">
        <v>374</v>
      </c>
      <c r="P430" s="65" t="s">
        <v>374</v>
      </c>
    </row>
    <row r="431" spans="1:16" ht="15.75" customHeight="1">
      <c r="A431" s="131" t="s">
        <v>476</v>
      </c>
      <c r="B431" s="26">
        <f t="shared" si="19"/>
        <v>4337</v>
      </c>
      <c r="C431" s="117" t="s">
        <v>374</v>
      </c>
      <c r="D431" s="117" t="s">
        <v>374</v>
      </c>
      <c r="E431" s="117" t="s">
        <v>374</v>
      </c>
      <c r="F431" s="117" t="s">
        <v>374</v>
      </c>
      <c r="G431" s="117" t="s">
        <v>374</v>
      </c>
      <c r="H431" s="117" t="s">
        <v>374</v>
      </c>
      <c r="I431" s="24">
        <f>'c-18'!C86</f>
        <v>3993</v>
      </c>
      <c r="J431" s="117" t="s">
        <v>374</v>
      </c>
      <c r="K431" s="117" t="s">
        <v>374</v>
      </c>
      <c r="L431" s="117" t="s">
        <v>374</v>
      </c>
      <c r="M431" s="117">
        <f>'c-21'!C51</f>
        <v>344</v>
      </c>
      <c r="N431" s="118" t="s">
        <v>374</v>
      </c>
      <c r="O431" s="65" t="s">
        <v>374</v>
      </c>
      <c r="P431" s="65" t="s">
        <v>374</v>
      </c>
    </row>
    <row r="432" spans="1:16" ht="15.75" customHeight="1">
      <c r="A432" s="131" t="s">
        <v>652</v>
      </c>
      <c r="B432" s="26">
        <f t="shared" si="19"/>
        <v>545</v>
      </c>
      <c r="C432" s="117" t="s">
        <v>374</v>
      </c>
      <c r="D432" s="117" t="s">
        <v>374</v>
      </c>
      <c r="E432" s="117" t="s">
        <v>374</v>
      </c>
      <c r="F432" s="117" t="s">
        <v>374</v>
      </c>
      <c r="G432" s="117" t="s">
        <v>374</v>
      </c>
      <c r="H432" s="117" t="s">
        <v>374</v>
      </c>
      <c r="I432" s="24">
        <f>'c-18'!C87</f>
        <v>545</v>
      </c>
      <c r="J432" s="117" t="s">
        <v>374</v>
      </c>
      <c r="K432" s="117" t="s">
        <v>374</v>
      </c>
      <c r="L432" s="117" t="s">
        <v>374</v>
      </c>
      <c r="M432" s="117" t="s">
        <v>374</v>
      </c>
      <c r="N432" s="117" t="s">
        <v>374</v>
      </c>
      <c r="O432" s="117" t="s">
        <v>374</v>
      </c>
      <c r="P432" s="65" t="s">
        <v>374</v>
      </c>
    </row>
    <row r="433" spans="1:16" ht="15.75" customHeight="1">
      <c r="A433" s="131" t="s">
        <v>802</v>
      </c>
      <c r="B433" s="26">
        <f t="shared" si="19"/>
        <v>684</v>
      </c>
      <c r="C433" s="117" t="s">
        <v>374</v>
      </c>
      <c r="D433" s="117" t="s">
        <v>374</v>
      </c>
      <c r="E433" s="117" t="s">
        <v>374</v>
      </c>
      <c r="F433" s="117" t="s">
        <v>374</v>
      </c>
      <c r="G433" s="117" t="s">
        <v>374</v>
      </c>
      <c r="H433" s="117" t="s">
        <v>374</v>
      </c>
      <c r="I433" s="24">
        <f>'c-18'!C59</f>
        <v>684</v>
      </c>
      <c r="J433" s="117" t="s">
        <v>374</v>
      </c>
      <c r="K433" s="117" t="s">
        <v>374</v>
      </c>
      <c r="L433" s="117" t="s">
        <v>374</v>
      </c>
      <c r="M433" s="64" t="s">
        <v>374</v>
      </c>
      <c r="N433" s="118" t="s">
        <v>374</v>
      </c>
      <c r="O433" s="65" t="s">
        <v>374</v>
      </c>
      <c r="P433" s="65" t="s">
        <v>374</v>
      </c>
    </row>
    <row r="434" spans="1:16" ht="15.75" customHeight="1">
      <c r="A434" s="131" t="s">
        <v>653</v>
      </c>
      <c r="B434" s="26">
        <f t="shared" si="19"/>
        <v>13091</v>
      </c>
      <c r="C434" s="117" t="s">
        <v>374</v>
      </c>
      <c r="D434" s="117" t="s">
        <v>374</v>
      </c>
      <c r="E434" s="117"/>
      <c r="F434" s="117" t="s">
        <v>374</v>
      </c>
      <c r="G434" s="117" t="s">
        <v>374</v>
      </c>
      <c r="H434" s="117" t="s">
        <v>374</v>
      </c>
      <c r="I434" s="24">
        <f>'c-18'!C36</f>
        <v>12492</v>
      </c>
      <c r="J434" s="117" t="s">
        <v>374</v>
      </c>
      <c r="K434" s="117" t="s">
        <v>374</v>
      </c>
      <c r="L434" s="117" t="s">
        <v>374</v>
      </c>
      <c r="M434" s="117">
        <f>'c-21'!C16</f>
        <v>599</v>
      </c>
      <c r="N434" s="118" t="s">
        <v>374</v>
      </c>
      <c r="O434" s="65"/>
      <c r="P434" s="65"/>
    </row>
    <row r="435" spans="1:16" ht="15.75" customHeight="1">
      <c r="A435" s="120" t="s">
        <v>654</v>
      </c>
      <c r="B435" s="26">
        <f t="shared" si="19"/>
        <v>380</v>
      </c>
      <c r="C435" s="117" t="s">
        <v>374</v>
      </c>
      <c r="D435" s="117" t="s">
        <v>374</v>
      </c>
      <c r="E435" s="117" t="s">
        <v>374</v>
      </c>
      <c r="F435" s="117" t="s">
        <v>374</v>
      </c>
      <c r="G435" s="117" t="s">
        <v>374</v>
      </c>
      <c r="H435" s="117" t="s">
        <v>374</v>
      </c>
      <c r="I435" s="24">
        <f>'c-18'!C37</f>
        <v>380</v>
      </c>
      <c r="J435" s="117" t="s">
        <v>374</v>
      </c>
      <c r="K435" s="117" t="s">
        <v>374</v>
      </c>
      <c r="L435" s="117" t="s">
        <v>374</v>
      </c>
      <c r="M435" s="64" t="s">
        <v>374</v>
      </c>
      <c r="N435" s="118" t="s">
        <v>374</v>
      </c>
      <c r="O435" s="65" t="s">
        <v>374</v>
      </c>
      <c r="P435" s="65" t="s">
        <v>374</v>
      </c>
    </row>
    <row r="436" spans="1:16" ht="15.75" customHeight="1">
      <c r="A436" s="131" t="s">
        <v>655</v>
      </c>
      <c r="B436" s="26">
        <f t="shared" si="19"/>
        <v>1756</v>
      </c>
      <c r="C436" s="117" t="s">
        <v>374</v>
      </c>
      <c r="D436" s="117" t="s">
        <v>374</v>
      </c>
      <c r="E436" s="117" t="s">
        <v>374</v>
      </c>
      <c r="F436" s="117" t="s">
        <v>374</v>
      </c>
      <c r="G436" s="117" t="s">
        <v>374</v>
      </c>
      <c r="H436" s="117" t="s">
        <v>374</v>
      </c>
      <c r="I436" s="24">
        <f>'c-18'!C38</f>
        <v>1756</v>
      </c>
      <c r="J436" s="117" t="s">
        <v>374</v>
      </c>
      <c r="K436" s="117" t="s">
        <v>374</v>
      </c>
      <c r="L436" s="117" t="s">
        <v>374</v>
      </c>
      <c r="M436" s="117" t="s">
        <v>374</v>
      </c>
      <c r="N436" s="117" t="s">
        <v>374</v>
      </c>
      <c r="O436" s="117" t="s">
        <v>374</v>
      </c>
      <c r="P436" s="65" t="s">
        <v>374</v>
      </c>
    </row>
    <row r="437" spans="1:16" ht="15.75" customHeight="1">
      <c r="A437" s="120" t="s">
        <v>177</v>
      </c>
      <c r="B437" s="26">
        <f t="shared" si="19"/>
        <v>2840</v>
      </c>
      <c r="C437" s="117" t="s">
        <v>374</v>
      </c>
      <c r="D437" s="117" t="s">
        <v>374</v>
      </c>
      <c r="E437" s="117" t="s">
        <v>374</v>
      </c>
      <c r="F437" s="117" t="s">
        <v>374</v>
      </c>
      <c r="G437" s="117" t="s">
        <v>374</v>
      </c>
      <c r="H437" s="117" t="s">
        <v>374</v>
      </c>
      <c r="I437" s="24">
        <f>'c-18'!C51</f>
        <v>2664</v>
      </c>
      <c r="J437" s="117" t="s">
        <v>374</v>
      </c>
      <c r="K437" s="117" t="s">
        <v>374</v>
      </c>
      <c r="L437" s="117" t="s">
        <v>374</v>
      </c>
      <c r="M437" s="64">
        <f>'c-21'!C26</f>
        <v>176</v>
      </c>
      <c r="N437" s="118" t="s">
        <v>374</v>
      </c>
      <c r="O437" s="65" t="s">
        <v>374</v>
      </c>
      <c r="P437" s="65" t="s">
        <v>374</v>
      </c>
    </row>
    <row r="438" spans="1:16" ht="15.75" customHeight="1">
      <c r="A438" s="120" t="s">
        <v>497</v>
      </c>
      <c r="B438" s="26">
        <f t="shared" si="19"/>
        <v>2889</v>
      </c>
      <c r="C438" s="117" t="s">
        <v>374</v>
      </c>
      <c r="D438" s="117" t="s">
        <v>374</v>
      </c>
      <c r="E438" s="117" t="s">
        <v>374</v>
      </c>
      <c r="F438" s="117" t="s">
        <v>374</v>
      </c>
      <c r="G438" s="117" t="s">
        <v>374</v>
      </c>
      <c r="H438" s="117" t="s">
        <v>374</v>
      </c>
      <c r="I438" s="24">
        <f>'c-18'!C49</f>
        <v>2732</v>
      </c>
      <c r="J438" s="117" t="s">
        <v>374</v>
      </c>
      <c r="K438" s="117" t="s">
        <v>374</v>
      </c>
      <c r="L438" s="117" t="s">
        <v>374</v>
      </c>
      <c r="M438" s="117">
        <f>'c-21'!C25</f>
        <v>157</v>
      </c>
      <c r="N438" s="118" t="s">
        <v>374</v>
      </c>
      <c r="O438" s="65" t="s">
        <v>374</v>
      </c>
      <c r="P438" s="65" t="s">
        <v>374</v>
      </c>
    </row>
    <row r="439" spans="1:16" ht="15.75" customHeight="1">
      <c r="A439" s="120" t="s">
        <v>656</v>
      </c>
      <c r="B439" s="26">
        <f t="shared" si="19"/>
        <v>366</v>
      </c>
      <c r="C439" s="117" t="s">
        <v>374</v>
      </c>
      <c r="D439" s="117" t="s">
        <v>374</v>
      </c>
      <c r="E439" s="117" t="s">
        <v>374</v>
      </c>
      <c r="F439" s="117" t="s">
        <v>374</v>
      </c>
      <c r="G439" s="117" t="s">
        <v>374</v>
      </c>
      <c r="H439" s="117" t="s">
        <v>374</v>
      </c>
      <c r="I439" s="24">
        <f>'c-18'!C50</f>
        <v>366</v>
      </c>
      <c r="J439" s="117" t="s">
        <v>374</v>
      </c>
      <c r="K439" s="117" t="s">
        <v>374</v>
      </c>
      <c r="L439" s="117" t="s">
        <v>374</v>
      </c>
      <c r="M439" s="64" t="s">
        <v>374</v>
      </c>
      <c r="N439" s="118" t="s">
        <v>374</v>
      </c>
      <c r="O439" s="65" t="s">
        <v>374</v>
      </c>
      <c r="P439" s="65" t="s">
        <v>374</v>
      </c>
    </row>
    <row r="440" spans="1:16" ht="15.75" customHeight="1">
      <c r="A440" s="120" t="s">
        <v>657</v>
      </c>
      <c r="B440" s="26">
        <f t="shared" si="19"/>
        <v>5346</v>
      </c>
      <c r="C440" s="117" t="s">
        <v>374</v>
      </c>
      <c r="D440" s="117" t="s">
        <v>374</v>
      </c>
      <c r="E440" s="117" t="s">
        <v>374</v>
      </c>
      <c r="F440" s="117" t="s">
        <v>374</v>
      </c>
      <c r="G440" s="117" t="s">
        <v>374</v>
      </c>
      <c r="H440" s="117" t="s">
        <v>374</v>
      </c>
      <c r="I440" s="24">
        <f>'c-18'!C41</f>
        <v>4894</v>
      </c>
      <c r="J440" s="117" t="s">
        <v>374</v>
      </c>
      <c r="K440" s="117" t="s">
        <v>374</v>
      </c>
      <c r="L440" s="117" t="s">
        <v>374</v>
      </c>
      <c r="M440" s="117">
        <f>'c-21'!C19</f>
        <v>452</v>
      </c>
      <c r="N440" s="118" t="s">
        <v>374</v>
      </c>
      <c r="O440" s="65" t="s">
        <v>374</v>
      </c>
      <c r="P440" s="65" t="s">
        <v>374</v>
      </c>
    </row>
    <row r="441" spans="1:16" ht="15.75" customHeight="1">
      <c r="A441" s="120" t="s">
        <v>658</v>
      </c>
      <c r="B441" s="26">
        <f t="shared" si="19"/>
        <v>616</v>
      </c>
      <c r="C441" s="117" t="s">
        <v>374</v>
      </c>
      <c r="D441" s="117" t="s">
        <v>374</v>
      </c>
      <c r="E441" s="117" t="s">
        <v>374</v>
      </c>
      <c r="F441" s="117" t="s">
        <v>374</v>
      </c>
      <c r="G441" s="117" t="s">
        <v>374</v>
      </c>
      <c r="H441" s="117" t="s">
        <v>374</v>
      </c>
      <c r="I441" s="24">
        <f>'c-18'!C42</f>
        <v>616</v>
      </c>
      <c r="J441" s="117" t="s">
        <v>374</v>
      </c>
      <c r="K441" s="117" t="s">
        <v>374</v>
      </c>
      <c r="L441" s="117" t="s">
        <v>374</v>
      </c>
      <c r="M441" s="117" t="s">
        <v>374</v>
      </c>
      <c r="N441" s="118" t="s">
        <v>374</v>
      </c>
      <c r="O441" s="65"/>
      <c r="P441" s="65"/>
    </row>
    <row r="442" spans="1:16" ht="15.75" customHeight="1">
      <c r="A442" s="120" t="s">
        <v>659</v>
      </c>
      <c r="B442" s="26">
        <f t="shared" si="19"/>
        <v>1199</v>
      </c>
      <c r="C442" s="117" t="s">
        <v>374</v>
      </c>
      <c r="D442" s="117" t="s">
        <v>374</v>
      </c>
      <c r="E442" s="117" t="s">
        <v>374</v>
      </c>
      <c r="F442" s="117" t="s">
        <v>374</v>
      </c>
      <c r="G442" s="117" t="s">
        <v>374</v>
      </c>
      <c r="H442" s="117" t="s">
        <v>374</v>
      </c>
      <c r="I442" s="24">
        <f>'c-18'!C43</f>
        <v>1168</v>
      </c>
      <c r="J442" s="117" t="s">
        <v>374</v>
      </c>
      <c r="K442" s="117" t="s">
        <v>374</v>
      </c>
      <c r="L442" s="117" t="s">
        <v>374</v>
      </c>
      <c r="M442" s="117">
        <f>'c-21'!C20</f>
        <v>31</v>
      </c>
      <c r="N442" s="117" t="s">
        <v>374</v>
      </c>
      <c r="O442" s="117" t="s">
        <v>374</v>
      </c>
      <c r="P442" s="65" t="s">
        <v>374</v>
      </c>
    </row>
    <row r="443" spans="1:16" ht="15.75" customHeight="1">
      <c r="A443" s="120" t="s">
        <v>811</v>
      </c>
      <c r="B443" s="26">
        <f t="shared" si="19"/>
        <v>1094</v>
      </c>
      <c r="C443" s="117" t="s">
        <v>374</v>
      </c>
      <c r="D443" s="117" t="s">
        <v>374</v>
      </c>
      <c r="E443" s="117" t="s">
        <v>374</v>
      </c>
      <c r="F443" s="117" t="s">
        <v>374</v>
      </c>
      <c r="G443" s="117" t="s">
        <v>374</v>
      </c>
      <c r="H443" s="117" t="s">
        <v>374</v>
      </c>
      <c r="I443" s="24">
        <f>'c-18'!C46</f>
        <v>1094</v>
      </c>
      <c r="J443" s="117" t="s">
        <v>374</v>
      </c>
      <c r="K443" s="117" t="s">
        <v>374</v>
      </c>
      <c r="L443" s="117" t="s">
        <v>374</v>
      </c>
      <c r="M443" s="117" t="s">
        <v>374</v>
      </c>
      <c r="N443" s="118" t="s">
        <v>374</v>
      </c>
      <c r="O443" s="65" t="s">
        <v>374</v>
      </c>
      <c r="P443" s="65" t="s">
        <v>374</v>
      </c>
    </row>
    <row r="444" spans="1:16" ht="15.75" customHeight="1">
      <c r="A444" s="120" t="s">
        <v>109</v>
      </c>
      <c r="B444" s="26">
        <f t="shared" si="19"/>
        <v>1203</v>
      </c>
      <c r="C444" s="117" t="s">
        <v>374</v>
      </c>
      <c r="D444" s="117" t="s">
        <v>374</v>
      </c>
      <c r="E444" s="117" t="s">
        <v>374</v>
      </c>
      <c r="F444" s="117" t="s">
        <v>374</v>
      </c>
      <c r="G444" s="117" t="s">
        <v>374</v>
      </c>
      <c r="H444" s="117" t="s">
        <v>374</v>
      </c>
      <c r="I444" s="24">
        <f>'c-18'!C44</f>
        <v>1198</v>
      </c>
      <c r="J444" s="117" t="s">
        <v>374</v>
      </c>
      <c r="K444" s="117" t="s">
        <v>374</v>
      </c>
      <c r="L444" s="117" t="s">
        <v>374</v>
      </c>
      <c r="M444" s="117">
        <f>'c-21'!C22</f>
        <v>5</v>
      </c>
      <c r="N444" s="118" t="s">
        <v>374</v>
      </c>
      <c r="O444" s="65" t="s">
        <v>374</v>
      </c>
      <c r="P444" s="65" t="s">
        <v>374</v>
      </c>
    </row>
    <row r="445" spans="1:16" ht="15.75" customHeight="1">
      <c r="A445" s="120" t="s">
        <v>660</v>
      </c>
      <c r="B445" s="26">
        <f t="shared" si="19"/>
        <v>621</v>
      </c>
      <c r="C445" s="117" t="s">
        <v>374</v>
      </c>
      <c r="D445" s="117" t="s">
        <v>374</v>
      </c>
      <c r="E445" s="117" t="s">
        <v>374</v>
      </c>
      <c r="F445" s="117" t="s">
        <v>374</v>
      </c>
      <c r="G445" s="117" t="s">
        <v>374</v>
      </c>
      <c r="H445" s="117" t="s">
        <v>374</v>
      </c>
      <c r="I445" s="24">
        <f>'c-18'!C45</f>
        <v>613</v>
      </c>
      <c r="J445" s="117" t="s">
        <v>374</v>
      </c>
      <c r="K445" s="117" t="s">
        <v>374</v>
      </c>
      <c r="L445" s="117" t="s">
        <v>374</v>
      </c>
      <c r="M445" s="64">
        <f>'c-21'!C21</f>
        <v>8</v>
      </c>
      <c r="N445" s="118" t="s">
        <v>374</v>
      </c>
      <c r="O445" s="65" t="s">
        <v>374</v>
      </c>
      <c r="P445" s="65" t="s">
        <v>374</v>
      </c>
    </row>
    <row r="446" spans="1:16" ht="15.75" customHeight="1">
      <c r="A446" s="120" t="s">
        <v>451</v>
      </c>
      <c r="B446" s="26">
        <f t="shared" si="19"/>
        <v>8715</v>
      </c>
      <c r="C446" s="117" t="s">
        <v>374</v>
      </c>
      <c r="D446" s="117" t="s">
        <v>374</v>
      </c>
      <c r="E446" s="117" t="s">
        <v>374</v>
      </c>
      <c r="F446" s="117" t="s">
        <v>374</v>
      </c>
      <c r="G446" s="117" t="s">
        <v>374</v>
      </c>
      <c r="H446" s="117" t="s">
        <v>374</v>
      </c>
      <c r="I446" s="24">
        <f>'c-18'!C54</f>
        <v>7991</v>
      </c>
      <c r="J446" s="64" t="s">
        <v>374</v>
      </c>
      <c r="K446" s="117" t="s">
        <v>374</v>
      </c>
      <c r="L446" s="117" t="s">
        <v>374</v>
      </c>
      <c r="M446" s="117">
        <f>'c-21'!C29</f>
        <v>724</v>
      </c>
      <c r="N446" s="118" t="s">
        <v>374</v>
      </c>
      <c r="O446" s="65"/>
      <c r="P446" s="65"/>
    </row>
    <row r="447" spans="1:16" ht="15.75" customHeight="1">
      <c r="A447" s="120" t="s">
        <v>661</v>
      </c>
      <c r="B447" s="26">
        <f t="shared" si="19"/>
        <v>229</v>
      </c>
      <c r="C447" s="117" t="s">
        <v>374</v>
      </c>
      <c r="D447" s="117" t="s">
        <v>374</v>
      </c>
      <c r="E447" s="117" t="s">
        <v>374</v>
      </c>
      <c r="F447" s="117" t="s">
        <v>374</v>
      </c>
      <c r="G447" s="117" t="s">
        <v>374</v>
      </c>
      <c r="H447" s="117" t="s">
        <v>374</v>
      </c>
      <c r="I447" s="24">
        <f>'c-18'!C55</f>
        <v>229</v>
      </c>
      <c r="J447" s="64" t="s">
        <v>374</v>
      </c>
      <c r="K447" s="117" t="s">
        <v>374</v>
      </c>
      <c r="L447" s="117" t="s">
        <v>374</v>
      </c>
      <c r="M447" s="117" t="s">
        <v>374</v>
      </c>
      <c r="N447" s="118" t="s">
        <v>374</v>
      </c>
      <c r="O447" s="65" t="s">
        <v>374</v>
      </c>
      <c r="P447" s="65" t="s">
        <v>374</v>
      </c>
    </row>
    <row r="448" spans="1:16" ht="15.75" customHeight="1">
      <c r="A448" s="120" t="s">
        <v>112</v>
      </c>
      <c r="B448" s="26">
        <f t="shared" si="19"/>
        <v>2354</v>
      </c>
      <c r="C448" s="117" t="s">
        <v>374</v>
      </c>
      <c r="D448" s="117" t="s">
        <v>374</v>
      </c>
      <c r="E448" s="117" t="s">
        <v>374</v>
      </c>
      <c r="F448" s="117" t="s">
        <v>374</v>
      </c>
      <c r="G448" s="117" t="s">
        <v>374</v>
      </c>
      <c r="H448" s="117" t="s">
        <v>374</v>
      </c>
      <c r="I448" s="24">
        <f>'c-18'!C56</f>
        <v>2354</v>
      </c>
      <c r="J448" s="64" t="s">
        <v>374</v>
      </c>
      <c r="K448" s="117" t="s">
        <v>374</v>
      </c>
      <c r="L448" s="117" t="s">
        <v>374</v>
      </c>
      <c r="M448" s="64" t="s">
        <v>374</v>
      </c>
      <c r="N448" s="118" t="s">
        <v>374</v>
      </c>
      <c r="O448" s="65" t="s">
        <v>374</v>
      </c>
      <c r="P448" s="65" t="s">
        <v>374</v>
      </c>
    </row>
    <row r="449" spans="1:16" ht="15.75" customHeight="1">
      <c r="A449" s="120" t="s">
        <v>1015</v>
      </c>
      <c r="B449" s="26">
        <f t="shared" si="19"/>
        <v>451</v>
      </c>
      <c r="C449" s="117" t="s">
        <v>374</v>
      </c>
      <c r="D449" s="117" t="s">
        <v>374</v>
      </c>
      <c r="E449" s="117" t="s">
        <v>374</v>
      </c>
      <c r="F449" s="117" t="s">
        <v>374</v>
      </c>
      <c r="G449" s="117" t="s">
        <v>374</v>
      </c>
      <c r="H449" s="117" t="s">
        <v>374</v>
      </c>
      <c r="I449" s="24">
        <f>'c-18'!C57</f>
        <v>451</v>
      </c>
      <c r="J449" s="64" t="s">
        <v>374</v>
      </c>
      <c r="K449" s="117" t="s">
        <v>374</v>
      </c>
      <c r="L449" s="117" t="s">
        <v>374</v>
      </c>
      <c r="M449" s="64" t="s">
        <v>374</v>
      </c>
      <c r="N449" s="118" t="s">
        <v>374</v>
      </c>
      <c r="O449" s="65" t="s">
        <v>374</v>
      </c>
      <c r="P449" s="65" t="s">
        <v>374</v>
      </c>
    </row>
    <row r="450" spans="1:16" ht="15.75" customHeight="1">
      <c r="A450" s="120" t="s">
        <v>181</v>
      </c>
      <c r="B450" s="26">
        <f t="shared" si="19"/>
        <v>3796</v>
      </c>
      <c r="C450" s="117" t="s">
        <v>374</v>
      </c>
      <c r="D450" s="117" t="s">
        <v>374</v>
      </c>
      <c r="E450" s="117" t="s">
        <v>374</v>
      </c>
      <c r="F450" s="117" t="s">
        <v>374</v>
      </c>
      <c r="G450" s="117" t="s">
        <v>374</v>
      </c>
      <c r="H450" s="117" t="s">
        <v>374</v>
      </c>
      <c r="I450" s="24">
        <f>'c-18'!C58</f>
        <v>3620</v>
      </c>
      <c r="J450" s="64" t="s">
        <v>374</v>
      </c>
      <c r="K450" s="117" t="s">
        <v>374</v>
      </c>
      <c r="L450" s="117" t="s">
        <v>374</v>
      </c>
      <c r="M450" s="64">
        <f>'c-21'!C30</f>
        <v>176</v>
      </c>
      <c r="N450" s="118" t="s">
        <v>374</v>
      </c>
      <c r="O450" s="65" t="s">
        <v>374</v>
      </c>
      <c r="P450" s="65" t="s">
        <v>374</v>
      </c>
    </row>
    <row r="451" spans="1:16" ht="15.75" customHeight="1">
      <c r="A451" s="120" t="s">
        <v>426</v>
      </c>
      <c r="B451" s="26">
        <f t="shared" si="19"/>
        <v>10639</v>
      </c>
      <c r="C451" s="117" t="s">
        <v>374</v>
      </c>
      <c r="D451" s="117" t="s">
        <v>374</v>
      </c>
      <c r="E451" s="117" t="s">
        <v>374</v>
      </c>
      <c r="F451" s="117" t="s">
        <v>374</v>
      </c>
      <c r="G451" s="117" t="s">
        <v>374</v>
      </c>
      <c r="H451" s="117" t="s">
        <v>374</v>
      </c>
      <c r="I451" s="24">
        <f>'c-18'!C62</f>
        <v>10101</v>
      </c>
      <c r="J451" s="117" t="s">
        <v>374</v>
      </c>
      <c r="K451" s="117" t="s">
        <v>374</v>
      </c>
      <c r="L451" s="117" t="s">
        <v>374</v>
      </c>
      <c r="M451" s="117">
        <f>'c-21'!C33</f>
        <v>538</v>
      </c>
      <c r="N451" s="118" t="s">
        <v>374</v>
      </c>
      <c r="O451" s="65"/>
      <c r="P451" s="65"/>
    </row>
    <row r="452" spans="1:16" ht="15.75" customHeight="1">
      <c r="A452" s="120" t="s">
        <v>662</v>
      </c>
      <c r="B452" s="26">
        <f t="shared" si="19"/>
        <v>641</v>
      </c>
      <c r="C452" s="117" t="s">
        <v>374</v>
      </c>
      <c r="D452" s="117" t="s">
        <v>374</v>
      </c>
      <c r="E452" s="117" t="s">
        <v>374</v>
      </c>
      <c r="F452" s="117" t="s">
        <v>374</v>
      </c>
      <c r="G452" s="117" t="s">
        <v>374</v>
      </c>
      <c r="H452" s="117" t="s">
        <v>374</v>
      </c>
      <c r="I452" s="24">
        <f>'c-18'!C63</f>
        <v>641</v>
      </c>
      <c r="J452" s="117" t="s">
        <v>374</v>
      </c>
      <c r="K452" s="117" t="s">
        <v>374</v>
      </c>
      <c r="L452" s="117" t="s">
        <v>374</v>
      </c>
      <c r="M452" s="117" t="s">
        <v>374</v>
      </c>
      <c r="N452" s="118" t="s">
        <v>374</v>
      </c>
      <c r="O452" s="65" t="s">
        <v>374</v>
      </c>
      <c r="P452" s="65" t="s">
        <v>374</v>
      </c>
    </row>
    <row r="453" spans="1:16" ht="15.75" customHeight="1">
      <c r="A453" s="120" t="s">
        <v>663</v>
      </c>
      <c r="B453" s="26">
        <f t="shared" si="19"/>
        <v>1942</v>
      </c>
      <c r="C453" s="117" t="s">
        <v>374</v>
      </c>
      <c r="D453" s="117" t="s">
        <v>374</v>
      </c>
      <c r="E453" s="117" t="s">
        <v>374</v>
      </c>
      <c r="F453" s="117" t="s">
        <v>374</v>
      </c>
      <c r="G453" s="117" t="s">
        <v>374</v>
      </c>
      <c r="H453" s="117" t="s">
        <v>374</v>
      </c>
      <c r="I453" s="24">
        <f>'c-18'!C64</f>
        <v>1942</v>
      </c>
      <c r="J453" s="117" t="s">
        <v>374</v>
      </c>
      <c r="K453" s="117" t="s">
        <v>374</v>
      </c>
      <c r="L453" s="117" t="s">
        <v>374</v>
      </c>
      <c r="M453" s="117" t="s">
        <v>374</v>
      </c>
      <c r="N453" s="118" t="s">
        <v>374</v>
      </c>
      <c r="O453" s="65" t="s">
        <v>374</v>
      </c>
      <c r="P453" s="65" t="s">
        <v>374</v>
      </c>
    </row>
    <row r="454" spans="1:16" ht="15.75" customHeight="1">
      <c r="A454" s="120" t="s">
        <v>624</v>
      </c>
      <c r="B454" s="26">
        <f t="shared" si="19"/>
        <v>2463</v>
      </c>
      <c r="C454" s="117" t="s">
        <v>374</v>
      </c>
      <c r="D454" s="117" t="s">
        <v>374</v>
      </c>
      <c r="E454" s="117" t="s">
        <v>374</v>
      </c>
      <c r="F454" s="117" t="s">
        <v>374</v>
      </c>
      <c r="G454" s="117" t="s">
        <v>374</v>
      </c>
      <c r="H454" s="117" t="s">
        <v>374</v>
      </c>
      <c r="I454" s="24">
        <f>'c-18'!C65</f>
        <v>2290</v>
      </c>
      <c r="J454" s="117" t="s">
        <v>374</v>
      </c>
      <c r="K454" s="117" t="s">
        <v>374</v>
      </c>
      <c r="L454" s="117" t="s">
        <v>374</v>
      </c>
      <c r="M454" s="64">
        <f>'c-21'!C34</f>
        <v>173</v>
      </c>
      <c r="N454" s="118" t="s">
        <v>374</v>
      </c>
      <c r="O454" s="65" t="s">
        <v>374</v>
      </c>
      <c r="P454" s="65" t="s">
        <v>374</v>
      </c>
    </row>
    <row r="455" spans="1:16" ht="15.75" customHeight="1">
      <c r="A455" s="120" t="s">
        <v>1042</v>
      </c>
      <c r="B455" s="26">
        <f t="shared" si="19"/>
        <v>26</v>
      </c>
      <c r="C455" s="117"/>
      <c r="D455" s="117"/>
      <c r="E455" s="117"/>
      <c r="F455" s="117"/>
      <c r="G455" s="117"/>
      <c r="H455" s="117"/>
      <c r="I455" s="24">
        <f>'c-18'!C66</f>
        <v>26</v>
      </c>
      <c r="J455" s="117"/>
      <c r="K455" s="117"/>
      <c r="L455" s="117"/>
      <c r="M455" s="64"/>
      <c r="N455" s="118"/>
      <c r="O455" s="65"/>
      <c r="P455" s="65"/>
    </row>
    <row r="456" spans="1:16" ht="15.75" customHeight="1">
      <c r="A456" s="120" t="s">
        <v>185</v>
      </c>
      <c r="B456" s="26">
        <f t="shared" si="19"/>
        <v>5089</v>
      </c>
      <c r="C456" s="117" t="s">
        <v>374</v>
      </c>
      <c r="D456" s="117" t="s">
        <v>374</v>
      </c>
      <c r="E456" s="117" t="s">
        <v>374</v>
      </c>
      <c r="F456" s="117" t="s">
        <v>374</v>
      </c>
      <c r="G456" s="117" t="s">
        <v>374</v>
      </c>
      <c r="H456" s="117" t="s">
        <v>374</v>
      </c>
      <c r="I456" s="24">
        <f>'c-18'!C69</f>
        <v>4785</v>
      </c>
      <c r="J456" s="117" t="s">
        <v>374</v>
      </c>
      <c r="K456" s="117" t="s">
        <v>374</v>
      </c>
      <c r="L456" s="117" t="s">
        <v>374</v>
      </c>
      <c r="M456" s="64">
        <f>'c-21'!C37</f>
        <v>304</v>
      </c>
      <c r="N456" s="118" t="s">
        <v>374</v>
      </c>
      <c r="O456" s="65" t="s">
        <v>374</v>
      </c>
      <c r="P456" s="65" t="s">
        <v>374</v>
      </c>
    </row>
    <row r="457" spans="1:16" ht="15.75" customHeight="1">
      <c r="A457" s="120" t="s">
        <v>664</v>
      </c>
      <c r="B457" s="26">
        <f t="shared" si="19"/>
        <v>463</v>
      </c>
      <c r="C457" s="117" t="s">
        <v>374</v>
      </c>
      <c r="D457" s="117" t="s">
        <v>374</v>
      </c>
      <c r="E457" s="117" t="s">
        <v>374</v>
      </c>
      <c r="F457" s="117" t="s">
        <v>374</v>
      </c>
      <c r="G457" s="117" t="s">
        <v>374</v>
      </c>
      <c r="H457" s="117" t="s">
        <v>374</v>
      </c>
      <c r="I457" s="24">
        <f>'c-18'!C70</f>
        <v>463</v>
      </c>
      <c r="J457" s="117" t="s">
        <v>374</v>
      </c>
      <c r="K457" s="117" t="s">
        <v>374</v>
      </c>
      <c r="L457" s="117" t="s">
        <v>374</v>
      </c>
      <c r="M457" s="64" t="s">
        <v>374</v>
      </c>
      <c r="N457" s="118" t="s">
        <v>374</v>
      </c>
      <c r="O457" s="65" t="s">
        <v>374</v>
      </c>
      <c r="P457" s="65" t="s">
        <v>374</v>
      </c>
    </row>
    <row r="458" spans="1:16" ht="15.75" customHeight="1">
      <c r="A458" s="120" t="s">
        <v>627</v>
      </c>
      <c r="B458" s="26">
        <f t="shared" si="19"/>
        <v>2960</v>
      </c>
      <c r="C458" s="117" t="s">
        <v>374</v>
      </c>
      <c r="D458" s="117" t="s">
        <v>374</v>
      </c>
      <c r="E458" s="117" t="s">
        <v>374</v>
      </c>
      <c r="F458" s="117" t="s">
        <v>374</v>
      </c>
      <c r="G458" s="117" t="s">
        <v>374</v>
      </c>
      <c r="H458" s="117" t="s">
        <v>374</v>
      </c>
      <c r="I458" s="24">
        <f>'c-18'!C71</f>
        <v>2799</v>
      </c>
      <c r="J458" s="117" t="s">
        <v>374</v>
      </c>
      <c r="K458" s="117" t="s">
        <v>374</v>
      </c>
      <c r="L458" s="117" t="s">
        <v>374</v>
      </c>
      <c r="M458" s="64">
        <f>'c-21'!C38</f>
        <v>161</v>
      </c>
      <c r="N458" s="118" t="s">
        <v>374</v>
      </c>
      <c r="O458" s="65" t="s">
        <v>374</v>
      </c>
      <c r="P458" s="65" t="s">
        <v>374</v>
      </c>
    </row>
    <row r="459" spans="1:16" ht="15.75" customHeight="1">
      <c r="A459" s="120" t="s">
        <v>665</v>
      </c>
      <c r="B459" s="26">
        <f t="shared" si="19"/>
        <v>3766</v>
      </c>
      <c r="C459" s="117" t="s">
        <v>374</v>
      </c>
      <c r="D459" s="117" t="s">
        <v>374</v>
      </c>
      <c r="E459" s="117" t="s">
        <v>374</v>
      </c>
      <c r="F459" s="117" t="s">
        <v>374</v>
      </c>
      <c r="G459" s="117" t="s">
        <v>374</v>
      </c>
      <c r="H459" s="117" t="s">
        <v>374</v>
      </c>
      <c r="I459" s="24">
        <f>'c-18'!C74</f>
        <v>3628</v>
      </c>
      <c r="J459" s="117" t="s">
        <v>374</v>
      </c>
      <c r="K459" s="117" t="s">
        <v>374</v>
      </c>
      <c r="L459" s="117" t="s">
        <v>374</v>
      </c>
      <c r="M459" s="64">
        <f>'c-21'!C41</f>
        <v>138</v>
      </c>
      <c r="N459" s="118" t="s">
        <v>374</v>
      </c>
      <c r="O459" s="65" t="s">
        <v>374</v>
      </c>
      <c r="P459" s="65" t="s">
        <v>374</v>
      </c>
    </row>
    <row r="460" spans="1:16" ht="15.75" customHeight="1">
      <c r="A460" s="120" t="s">
        <v>500</v>
      </c>
      <c r="B460" s="26">
        <f t="shared" si="19"/>
        <v>4388</v>
      </c>
      <c r="C460" s="117" t="s">
        <v>374</v>
      </c>
      <c r="D460" s="117" t="s">
        <v>374</v>
      </c>
      <c r="E460" s="117" t="s">
        <v>374</v>
      </c>
      <c r="F460" s="117" t="s">
        <v>374</v>
      </c>
      <c r="G460" s="117" t="s">
        <v>374</v>
      </c>
      <c r="H460" s="117" t="s">
        <v>374</v>
      </c>
      <c r="I460" s="24">
        <f>'c-18'!C75</f>
        <v>4214</v>
      </c>
      <c r="J460" s="117" t="s">
        <v>374</v>
      </c>
      <c r="K460" s="117" t="s">
        <v>374</v>
      </c>
      <c r="L460" s="117" t="s">
        <v>374</v>
      </c>
      <c r="M460" s="64">
        <f>'c-21'!C42</f>
        <v>174</v>
      </c>
      <c r="N460" s="118" t="s">
        <v>374</v>
      </c>
      <c r="O460" s="65" t="s">
        <v>374</v>
      </c>
      <c r="P460" s="65" t="s">
        <v>374</v>
      </c>
    </row>
    <row r="461" spans="1:16" ht="15.75" customHeight="1">
      <c r="A461" s="120" t="s">
        <v>666</v>
      </c>
      <c r="B461" s="26">
        <f t="shared" si="19"/>
        <v>661</v>
      </c>
      <c r="C461" s="117" t="s">
        <v>374</v>
      </c>
      <c r="D461" s="117" t="s">
        <v>374</v>
      </c>
      <c r="E461" s="117" t="s">
        <v>374</v>
      </c>
      <c r="F461" s="117" t="s">
        <v>374</v>
      </c>
      <c r="G461" s="117" t="s">
        <v>374</v>
      </c>
      <c r="H461" s="117" t="s">
        <v>374</v>
      </c>
      <c r="I461" s="24">
        <f>'c-18'!C76</f>
        <v>661</v>
      </c>
      <c r="J461" s="117" t="s">
        <v>374</v>
      </c>
      <c r="K461" s="117" t="s">
        <v>374</v>
      </c>
      <c r="L461" s="117" t="s">
        <v>374</v>
      </c>
      <c r="M461" s="117" t="s">
        <v>374</v>
      </c>
      <c r="N461" s="118" t="s">
        <v>374</v>
      </c>
      <c r="O461" s="65" t="s">
        <v>374</v>
      </c>
      <c r="P461" s="65" t="s">
        <v>374</v>
      </c>
    </row>
    <row r="462" spans="1:16" ht="15.75" customHeight="1">
      <c r="A462" s="120" t="s">
        <v>776</v>
      </c>
      <c r="B462" s="26">
        <f t="shared" si="19"/>
        <v>6144</v>
      </c>
      <c r="C462" s="117" t="s">
        <v>374</v>
      </c>
      <c r="D462" s="117" t="s">
        <v>374</v>
      </c>
      <c r="E462" s="117" t="s">
        <v>374</v>
      </c>
      <c r="F462" s="117" t="s">
        <v>374</v>
      </c>
      <c r="G462" s="117" t="s">
        <v>374</v>
      </c>
      <c r="H462" s="117" t="s">
        <v>374</v>
      </c>
      <c r="I462" s="24">
        <f>'c-18'!C79</f>
        <v>5801</v>
      </c>
      <c r="J462" s="117" t="s">
        <v>374</v>
      </c>
      <c r="K462" s="117" t="s">
        <v>374</v>
      </c>
      <c r="L462" s="117" t="s">
        <v>374</v>
      </c>
      <c r="M462" s="117">
        <f>'c-21'!C45</f>
        <v>343</v>
      </c>
      <c r="N462" s="118" t="s">
        <v>374</v>
      </c>
      <c r="O462" s="65" t="s">
        <v>374</v>
      </c>
      <c r="P462" s="65" t="s">
        <v>374</v>
      </c>
    </row>
    <row r="463" spans="1:16" ht="15.75" customHeight="1">
      <c r="A463" s="120" t="s">
        <v>667</v>
      </c>
      <c r="B463" s="26">
        <f t="shared" si="19"/>
        <v>515</v>
      </c>
      <c r="C463" s="117" t="s">
        <v>374</v>
      </c>
      <c r="D463" s="117" t="s">
        <v>374</v>
      </c>
      <c r="E463" s="117" t="s">
        <v>374</v>
      </c>
      <c r="F463" s="117" t="s">
        <v>374</v>
      </c>
      <c r="G463" s="117" t="s">
        <v>374</v>
      </c>
      <c r="H463" s="117" t="s">
        <v>374</v>
      </c>
      <c r="I463" s="24">
        <f>'c-18'!C80</f>
        <v>515</v>
      </c>
      <c r="J463" s="117" t="s">
        <v>374</v>
      </c>
      <c r="K463" s="117" t="s">
        <v>374</v>
      </c>
      <c r="L463" s="117" t="s">
        <v>374</v>
      </c>
      <c r="M463" s="64" t="s">
        <v>374</v>
      </c>
      <c r="N463" s="118" t="s">
        <v>374</v>
      </c>
      <c r="O463" s="65" t="s">
        <v>374</v>
      </c>
      <c r="P463" s="65" t="s">
        <v>374</v>
      </c>
    </row>
    <row r="464" spans="1:16" ht="15.75" customHeight="1">
      <c r="A464" s="120" t="s">
        <v>668</v>
      </c>
      <c r="B464" s="26">
        <f t="shared" si="19"/>
        <v>2030</v>
      </c>
      <c r="C464" s="117" t="s">
        <v>374</v>
      </c>
      <c r="D464" s="117" t="s">
        <v>374</v>
      </c>
      <c r="E464" s="117" t="s">
        <v>374</v>
      </c>
      <c r="F464" s="117" t="s">
        <v>374</v>
      </c>
      <c r="G464" s="117" t="s">
        <v>374</v>
      </c>
      <c r="H464" s="117" t="s">
        <v>374</v>
      </c>
      <c r="I464" s="24">
        <f>'c-18'!C82</f>
        <v>2021</v>
      </c>
      <c r="J464" s="117" t="s">
        <v>374</v>
      </c>
      <c r="K464" s="117" t="s">
        <v>374</v>
      </c>
      <c r="L464" s="117" t="s">
        <v>374</v>
      </c>
      <c r="M464" s="64">
        <f>'c-21'!C48</f>
        <v>9</v>
      </c>
      <c r="N464" s="118" t="s">
        <v>374</v>
      </c>
      <c r="O464" s="65" t="s">
        <v>374</v>
      </c>
      <c r="P464" s="65" t="s">
        <v>374</v>
      </c>
    </row>
    <row r="465" spans="1:16" ht="15.75" customHeight="1">
      <c r="A465" s="120" t="s">
        <v>637</v>
      </c>
      <c r="B465" s="26">
        <f t="shared" si="19"/>
        <v>897</v>
      </c>
      <c r="C465" s="117" t="s">
        <v>374</v>
      </c>
      <c r="D465" s="117" t="s">
        <v>374</v>
      </c>
      <c r="E465" s="117" t="s">
        <v>374</v>
      </c>
      <c r="F465" s="117" t="s">
        <v>374</v>
      </c>
      <c r="G465" s="117" t="s">
        <v>374</v>
      </c>
      <c r="H465" s="117" t="s">
        <v>374</v>
      </c>
      <c r="I465" s="24">
        <f>'c-18'!C81</f>
        <v>886</v>
      </c>
      <c r="J465" s="117" t="s">
        <v>374</v>
      </c>
      <c r="K465" s="117" t="s">
        <v>374</v>
      </c>
      <c r="L465" s="117" t="s">
        <v>374</v>
      </c>
      <c r="M465" s="64">
        <f>'c-21'!C47</f>
        <v>11</v>
      </c>
      <c r="N465" s="118" t="s">
        <v>374</v>
      </c>
      <c r="O465" s="65" t="s">
        <v>374</v>
      </c>
      <c r="P465" s="65" t="s">
        <v>374</v>
      </c>
    </row>
    <row r="466" spans="1:16" ht="15.75" customHeight="1">
      <c r="A466" s="120" t="s">
        <v>669</v>
      </c>
      <c r="B466" s="26">
        <f t="shared" si="19"/>
        <v>2840</v>
      </c>
      <c r="C466" s="117" t="s">
        <v>374</v>
      </c>
      <c r="D466" s="117" t="s">
        <v>374</v>
      </c>
      <c r="E466" s="117" t="s">
        <v>374</v>
      </c>
      <c r="F466" s="117" t="s">
        <v>374</v>
      </c>
      <c r="G466" s="117" t="s">
        <v>374</v>
      </c>
      <c r="H466" s="117" t="s">
        <v>374</v>
      </c>
      <c r="I466" s="24">
        <f>'c-18'!C83</f>
        <v>2744</v>
      </c>
      <c r="J466" s="117" t="s">
        <v>374</v>
      </c>
      <c r="K466" s="117" t="s">
        <v>374</v>
      </c>
      <c r="L466" s="117" t="s">
        <v>374</v>
      </c>
      <c r="M466" s="64">
        <f>'c-21'!C46</f>
        <v>96</v>
      </c>
      <c r="N466" s="118" t="s">
        <v>374</v>
      </c>
      <c r="O466" s="65" t="s">
        <v>374</v>
      </c>
      <c r="P466" s="65" t="s">
        <v>374</v>
      </c>
    </row>
    <row r="467" spans="1:16" ht="15.75" customHeight="1">
      <c r="A467" s="120" t="s">
        <v>640</v>
      </c>
      <c r="B467" s="26">
        <f t="shared" si="19"/>
        <v>1988</v>
      </c>
      <c r="C467" s="117" t="s">
        <v>374</v>
      </c>
      <c r="D467" s="117" t="s">
        <v>374</v>
      </c>
      <c r="E467" s="117" t="s">
        <v>374</v>
      </c>
      <c r="F467" s="117" t="s">
        <v>374</v>
      </c>
      <c r="G467" s="117" t="s">
        <v>374</v>
      </c>
      <c r="H467" s="117" t="s">
        <v>374</v>
      </c>
      <c r="I467" s="24">
        <f>'c-18'!C93</f>
        <v>1906</v>
      </c>
      <c r="J467" s="117" t="s">
        <v>374</v>
      </c>
      <c r="K467" s="117" t="s">
        <v>374</v>
      </c>
      <c r="L467" s="117" t="s">
        <v>374</v>
      </c>
      <c r="M467" s="64">
        <f>'c-21'!C56</f>
        <v>82</v>
      </c>
      <c r="N467" s="118" t="s">
        <v>374</v>
      </c>
      <c r="O467" s="65" t="s">
        <v>374</v>
      </c>
      <c r="P467" s="65" t="s">
        <v>374</v>
      </c>
    </row>
    <row r="468" spans="1:16" ht="15.75" customHeight="1">
      <c r="A468" s="120" t="s">
        <v>582</v>
      </c>
      <c r="B468" s="26">
        <f t="shared" si="19"/>
        <v>1685</v>
      </c>
      <c r="C468" s="117" t="s">
        <v>374</v>
      </c>
      <c r="D468" s="117" t="s">
        <v>374</v>
      </c>
      <c r="E468" s="117" t="s">
        <v>374</v>
      </c>
      <c r="F468" s="117" t="s">
        <v>374</v>
      </c>
      <c r="G468" s="117" t="s">
        <v>374</v>
      </c>
      <c r="H468" s="117" t="s">
        <v>374</v>
      </c>
      <c r="I468" s="24">
        <f>'c-18'!C94</f>
        <v>1628</v>
      </c>
      <c r="J468" s="117" t="s">
        <v>374</v>
      </c>
      <c r="K468" s="117" t="s">
        <v>374</v>
      </c>
      <c r="L468" s="117" t="s">
        <v>374</v>
      </c>
      <c r="M468" s="117">
        <f>'c-21'!C57</f>
        <v>57</v>
      </c>
      <c r="N468" s="118" t="s">
        <v>374</v>
      </c>
      <c r="O468" s="65" t="s">
        <v>374</v>
      </c>
      <c r="P468" s="65" t="s">
        <v>374</v>
      </c>
    </row>
    <row r="469" spans="1:16" ht="15.75" customHeight="1">
      <c r="A469" s="120" t="s">
        <v>670</v>
      </c>
      <c r="B469" s="26">
        <f t="shared" si="19"/>
        <v>71</v>
      </c>
      <c r="C469" s="117" t="s">
        <v>374</v>
      </c>
      <c r="D469" s="117" t="s">
        <v>374</v>
      </c>
      <c r="E469" s="117" t="s">
        <v>374</v>
      </c>
      <c r="F469" s="117" t="s">
        <v>374</v>
      </c>
      <c r="G469" s="117" t="s">
        <v>374</v>
      </c>
      <c r="H469" s="117" t="s">
        <v>374</v>
      </c>
      <c r="I469" s="24">
        <f>'c-18'!C95</f>
        <v>71</v>
      </c>
      <c r="J469" s="117" t="s">
        <v>374</v>
      </c>
      <c r="K469" s="117" t="s">
        <v>374</v>
      </c>
      <c r="L469" s="117" t="s">
        <v>374</v>
      </c>
      <c r="M469" s="117" t="s">
        <v>374</v>
      </c>
      <c r="N469" s="118" t="s">
        <v>374</v>
      </c>
      <c r="O469" s="65" t="s">
        <v>374</v>
      </c>
      <c r="P469" s="65" t="s">
        <v>374</v>
      </c>
    </row>
    <row r="470" spans="1:16" ht="15.75" customHeight="1">
      <c r="A470" s="120" t="s">
        <v>1044</v>
      </c>
      <c r="B470" s="26">
        <f t="shared" si="19"/>
        <v>581</v>
      </c>
      <c r="C470" s="117"/>
      <c r="D470" s="117"/>
      <c r="E470" s="117"/>
      <c r="F470" s="117"/>
      <c r="G470" s="117"/>
      <c r="H470" s="117"/>
      <c r="I470" s="24">
        <f>'c-18'!C96</f>
        <v>565</v>
      </c>
      <c r="J470" s="117"/>
      <c r="K470" s="117"/>
      <c r="L470" s="117"/>
      <c r="M470" s="117">
        <f>'c-21'!C58</f>
        <v>16</v>
      </c>
      <c r="N470" s="118"/>
      <c r="O470" s="65"/>
      <c r="P470" s="65"/>
    </row>
    <row r="471" spans="1:16" ht="15.75" customHeight="1">
      <c r="A471" s="120" t="s">
        <v>501</v>
      </c>
      <c r="B471" s="26">
        <f t="shared" si="19"/>
        <v>2016</v>
      </c>
      <c r="C471" s="117" t="s">
        <v>374</v>
      </c>
      <c r="D471" s="117" t="s">
        <v>374</v>
      </c>
      <c r="E471" s="117" t="s">
        <v>374</v>
      </c>
      <c r="F471" s="117" t="s">
        <v>374</v>
      </c>
      <c r="G471" s="117" t="s">
        <v>374</v>
      </c>
      <c r="H471" s="117" t="s">
        <v>374</v>
      </c>
      <c r="I471" s="24">
        <f>'c-18'!C91</f>
        <v>1857</v>
      </c>
      <c r="J471" s="117" t="s">
        <v>374</v>
      </c>
      <c r="K471" s="117" t="s">
        <v>374</v>
      </c>
      <c r="L471" s="117" t="s">
        <v>374</v>
      </c>
      <c r="M471" s="64">
        <f>'c-21'!C55</f>
        <v>159</v>
      </c>
      <c r="N471" s="118" t="s">
        <v>374</v>
      </c>
      <c r="O471" s="65" t="s">
        <v>374</v>
      </c>
      <c r="P471" s="65" t="s">
        <v>374</v>
      </c>
    </row>
    <row r="472" spans="1:16" ht="15.75" customHeight="1">
      <c r="A472" s="120" t="s">
        <v>671</v>
      </c>
      <c r="B472" s="26">
        <f t="shared" si="19"/>
        <v>222</v>
      </c>
      <c r="C472" s="117" t="s">
        <v>374</v>
      </c>
      <c r="D472" s="117" t="s">
        <v>374</v>
      </c>
      <c r="E472" s="117" t="s">
        <v>374</v>
      </c>
      <c r="F472" s="117" t="s">
        <v>374</v>
      </c>
      <c r="G472" s="117" t="s">
        <v>374</v>
      </c>
      <c r="H472" s="117" t="s">
        <v>374</v>
      </c>
      <c r="I472" s="24">
        <f>'c-18'!C92</f>
        <v>222</v>
      </c>
      <c r="J472" s="117" t="s">
        <v>374</v>
      </c>
      <c r="K472" s="117" t="s">
        <v>374</v>
      </c>
      <c r="L472" s="117" t="s">
        <v>374</v>
      </c>
      <c r="M472" s="64" t="s">
        <v>374</v>
      </c>
      <c r="N472" s="118" t="s">
        <v>374</v>
      </c>
      <c r="O472" s="65" t="s">
        <v>374</v>
      </c>
      <c r="P472" s="65" t="s">
        <v>374</v>
      </c>
    </row>
    <row r="473" spans="1:16" ht="15.75" customHeight="1">
      <c r="A473" s="120" t="s">
        <v>672</v>
      </c>
      <c r="B473" s="26">
        <f t="shared" si="19"/>
        <v>1149</v>
      </c>
      <c r="C473" s="117" t="s">
        <v>374</v>
      </c>
      <c r="D473" s="117" t="s">
        <v>374</v>
      </c>
      <c r="E473" s="117" t="s">
        <v>374</v>
      </c>
      <c r="F473" s="117" t="s">
        <v>374</v>
      </c>
      <c r="G473" s="117" t="s">
        <v>374</v>
      </c>
      <c r="H473" s="117" t="s">
        <v>374</v>
      </c>
      <c r="I473" s="24">
        <f>'c-18'!C97</f>
        <v>1117</v>
      </c>
      <c r="J473" s="117" t="s">
        <v>374</v>
      </c>
      <c r="K473" s="117" t="s">
        <v>374</v>
      </c>
      <c r="L473" s="64" t="s">
        <v>374</v>
      </c>
      <c r="M473" s="64">
        <f>'c-21'!C59</f>
        <v>32</v>
      </c>
      <c r="N473" s="118" t="s">
        <v>374</v>
      </c>
      <c r="O473" s="65" t="s">
        <v>374</v>
      </c>
      <c r="P473" s="65" t="s">
        <v>374</v>
      </c>
    </row>
    <row r="474" spans="1:16" ht="15.75" customHeight="1">
      <c r="A474" s="120" t="s">
        <v>673</v>
      </c>
      <c r="B474" s="26">
        <f t="shared" si="19"/>
        <v>1316</v>
      </c>
      <c r="C474" s="117" t="s">
        <v>374</v>
      </c>
      <c r="D474" s="117" t="s">
        <v>374</v>
      </c>
      <c r="E474" s="117" t="s">
        <v>374</v>
      </c>
      <c r="F474" s="117" t="s">
        <v>374</v>
      </c>
      <c r="G474" s="117" t="s">
        <v>374</v>
      </c>
      <c r="H474" s="117" t="s">
        <v>374</v>
      </c>
      <c r="I474" s="24">
        <f>'c-18'!C88</f>
        <v>1295</v>
      </c>
      <c r="J474" s="117" t="s">
        <v>374</v>
      </c>
      <c r="K474" s="117" t="s">
        <v>374</v>
      </c>
      <c r="L474" s="64" t="s">
        <v>374</v>
      </c>
      <c r="M474" s="64">
        <f>'c-21'!C52</f>
        <v>21</v>
      </c>
      <c r="N474" s="118" t="s">
        <v>374</v>
      </c>
      <c r="O474" s="65" t="s">
        <v>374</v>
      </c>
      <c r="P474" s="65" t="s">
        <v>374</v>
      </c>
    </row>
    <row r="475" spans="1:16" ht="15.75" customHeight="1">
      <c r="A475" s="120" t="s">
        <v>478</v>
      </c>
      <c r="B475" s="26">
        <f t="shared" si="19"/>
        <v>5808</v>
      </c>
      <c r="C475" s="118" t="s">
        <v>374</v>
      </c>
      <c r="D475" s="66" t="s">
        <v>374</v>
      </c>
      <c r="E475" s="64" t="s">
        <v>374</v>
      </c>
      <c r="F475" s="117" t="s">
        <v>374</v>
      </c>
      <c r="G475" s="117" t="s">
        <v>374</v>
      </c>
      <c r="H475" s="117" t="s">
        <v>374</v>
      </c>
      <c r="I475" s="24">
        <f>'c-18'!C100</f>
        <v>5334</v>
      </c>
      <c r="J475" s="117" t="s">
        <v>374</v>
      </c>
      <c r="K475" s="117" t="s">
        <v>374</v>
      </c>
      <c r="L475" s="64" t="s">
        <v>374</v>
      </c>
      <c r="M475" s="64">
        <f>'c-21'!C62</f>
        <v>474</v>
      </c>
      <c r="N475" s="118" t="s">
        <v>374</v>
      </c>
      <c r="O475" s="65" t="s">
        <v>374</v>
      </c>
      <c r="P475" s="65" t="s">
        <v>374</v>
      </c>
    </row>
    <row r="476" spans="1:16" ht="15.75" customHeight="1">
      <c r="A476" s="120" t="s">
        <v>674</v>
      </c>
      <c r="B476" s="26">
        <f t="shared" si="19"/>
        <v>333</v>
      </c>
      <c r="C476" s="117" t="s">
        <v>374</v>
      </c>
      <c r="D476" s="117" t="s">
        <v>374</v>
      </c>
      <c r="E476" s="117" t="s">
        <v>374</v>
      </c>
      <c r="F476" s="117" t="s">
        <v>374</v>
      </c>
      <c r="G476" s="117" t="s">
        <v>374</v>
      </c>
      <c r="H476" s="117" t="s">
        <v>374</v>
      </c>
      <c r="I476" s="24">
        <f>'c-18'!C101</f>
        <v>333</v>
      </c>
      <c r="J476" s="117" t="s">
        <v>374</v>
      </c>
      <c r="K476" s="117" t="s">
        <v>374</v>
      </c>
      <c r="L476" s="64" t="s">
        <v>374</v>
      </c>
      <c r="M476" s="64" t="s">
        <v>374</v>
      </c>
      <c r="N476" s="118" t="s">
        <v>374</v>
      </c>
      <c r="O476" s="65" t="s">
        <v>374</v>
      </c>
      <c r="P476" s="65" t="s">
        <v>374</v>
      </c>
    </row>
    <row r="477" spans="1:16" ht="15.75" customHeight="1">
      <c r="A477" s="120" t="s">
        <v>675</v>
      </c>
      <c r="B477" s="26">
        <f t="shared" si="19"/>
        <v>1755</v>
      </c>
      <c r="C477" s="118" t="s">
        <v>374</v>
      </c>
      <c r="D477" s="66" t="s">
        <v>374</v>
      </c>
      <c r="E477" s="64" t="s">
        <v>374</v>
      </c>
      <c r="F477" s="117" t="s">
        <v>374</v>
      </c>
      <c r="G477" s="117" t="s">
        <v>374</v>
      </c>
      <c r="H477" s="117" t="s">
        <v>374</v>
      </c>
      <c r="I477" s="24">
        <f>'c-18'!C102</f>
        <v>1648</v>
      </c>
      <c r="J477" s="117" t="s">
        <v>374</v>
      </c>
      <c r="K477" s="117" t="s">
        <v>374</v>
      </c>
      <c r="L477" s="64" t="s">
        <v>374</v>
      </c>
      <c r="M477" s="64">
        <f>'c-21'!C66</f>
        <v>107</v>
      </c>
      <c r="N477" s="118" t="s">
        <v>374</v>
      </c>
      <c r="O477" s="65" t="s">
        <v>374</v>
      </c>
      <c r="P477" s="65" t="s">
        <v>374</v>
      </c>
    </row>
    <row r="478" spans="1:16" ht="15.75" customHeight="1">
      <c r="A478" s="120" t="s">
        <v>479</v>
      </c>
      <c r="B478" s="26">
        <f t="shared" si="19"/>
        <v>6404</v>
      </c>
      <c r="C478" s="117" t="s">
        <v>374</v>
      </c>
      <c r="D478" s="117" t="s">
        <v>374</v>
      </c>
      <c r="E478" s="117" t="s">
        <v>374</v>
      </c>
      <c r="F478" s="117" t="s">
        <v>374</v>
      </c>
      <c r="G478" s="117" t="s">
        <v>374</v>
      </c>
      <c r="H478" s="117" t="s">
        <v>374</v>
      </c>
      <c r="I478" s="24">
        <f>'c-18'!C105</f>
        <v>5943</v>
      </c>
      <c r="J478" s="117" t="s">
        <v>374</v>
      </c>
      <c r="K478" s="117" t="s">
        <v>374</v>
      </c>
      <c r="L478" s="64" t="s">
        <v>374</v>
      </c>
      <c r="M478" s="64">
        <f>'c-21'!C65</f>
        <v>461</v>
      </c>
      <c r="N478" s="118" t="s">
        <v>374</v>
      </c>
      <c r="O478" s="65" t="s">
        <v>374</v>
      </c>
      <c r="P478" s="65" t="s">
        <v>374</v>
      </c>
    </row>
    <row r="479" spans="1:16" ht="15.75" customHeight="1">
      <c r="A479" s="120" t="s">
        <v>676</v>
      </c>
      <c r="B479" s="26">
        <f t="shared" si="19"/>
        <v>635</v>
      </c>
      <c r="C479" s="118" t="s">
        <v>374</v>
      </c>
      <c r="D479" s="66" t="s">
        <v>374</v>
      </c>
      <c r="E479" s="64" t="s">
        <v>374</v>
      </c>
      <c r="F479" s="117" t="s">
        <v>374</v>
      </c>
      <c r="G479" s="117" t="s">
        <v>374</v>
      </c>
      <c r="H479" s="117" t="s">
        <v>374</v>
      </c>
      <c r="I479" s="24">
        <f>'c-18'!C106</f>
        <v>635</v>
      </c>
      <c r="J479" s="117" t="s">
        <v>374</v>
      </c>
      <c r="K479" s="117" t="s">
        <v>374</v>
      </c>
      <c r="L479" s="64" t="s">
        <v>374</v>
      </c>
      <c r="M479" s="64" t="s">
        <v>374</v>
      </c>
      <c r="N479" s="118" t="s">
        <v>374</v>
      </c>
      <c r="O479" s="65" t="s">
        <v>374</v>
      </c>
      <c r="P479" s="65" t="s">
        <v>374</v>
      </c>
    </row>
    <row r="480" spans="1:16" ht="15.75" customHeight="1">
      <c r="A480" s="120" t="s">
        <v>481</v>
      </c>
      <c r="B480" s="26">
        <f t="shared" si="19"/>
        <v>2604</v>
      </c>
      <c r="C480" s="117" t="s">
        <v>374</v>
      </c>
      <c r="D480" s="117" t="s">
        <v>374</v>
      </c>
      <c r="E480" s="117" t="s">
        <v>374</v>
      </c>
      <c r="F480" s="117" t="s">
        <v>374</v>
      </c>
      <c r="G480" s="117" t="s">
        <v>374</v>
      </c>
      <c r="H480" s="117" t="s">
        <v>374</v>
      </c>
      <c r="I480" s="24">
        <f>'c-18'!C107</f>
        <v>2604</v>
      </c>
      <c r="J480" s="117" t="s">
        <v>374</v>
      </c>
      <c r="K480" s="117" t="s">
        <v>374</v>
      </c>
      <c r="L480" s="64" t="s">
        <v>374</v>
      </c>
      <c r="M480" s="64" t="s">
        <v>374</v>
      </c>
      <c r="N480" s="118" t="s">
        <v>374</v>
      </c>
      <c r="O480" s="65" t="s">
        <v>374</v>
      </c>
      <c r="P480" s="65" t="s">
        <v>374</v>
      </c>
    </row>
    <row r="481" spans="1:16" ht="15.75" customHeight="1">
      <c r="A481" s="143"/>
      <c r="B481" s="105"/>
      <c r="C481" s="105"/>
      <c r="D481" s="105"/>
      <c r="E481" s="105"/>
      <c r="F481" s="105"/>
      <c r="G481" s="105"/>
      <c r="H481" s="105"/>
      <c r="I481" s="105"/>
      <c r="J481" s="105"/>
      <c r="K481" s="105"/>
      <c r="L481" s="135"/>
      <c r="M481" s="135"/>
      <c r="N481" s="137"/>
      <c r="O481" s="84"/>
      <c r="P481" s="84"/>
    </row>
    <row r="482" spans="1:16" ht="15.75" customHeight="1">
      <c r="A482" s="72" t="s">
        <v>677</v>
      </c>
    </row>
    <row r="483" spans="1:16" ht="15.75" customHeight="1">
      <c r="A483" s="72" t="s">
        <v>678</v>
      </c>
    </row>
    <row r="484" spans="1:16" ht="15.75" customHeight="1">
      <c r="A484" s="39" t="s">
        <v>1072</v>
      </c>
    </row>
  </sheetData>
  <sheetProtection selectLockedCells="1" selectUnlockedCells="1"/>
  <mergeCells count="5">
    <mergeCell ref="C355:P355"/>
    <mergeCell ref="A3:P3"/>
    <mergeCell ref="C5:P5"/>
    <mergeCell ref="C137:P137"/>
    <mergeCell ref="C253:P253"/>
  </mergeCells>
  <phoneticPr fontId="0" type="noConversion"/>
  <printOptions horizontalCentered="1" verticalCentered="1"/>
  <pageMargins left="0" right="0" top="0" bottom="0" header="0.51180555555555551" footer="0.51180555555555551"/>
  <pageSetup scale="32" firstPageNumber="0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X484"/>
  <sheetViews>
    <sheetView workbookViewId="0">
      <selection activeCell="A3" sqref="A3:P3"/>
    </sheetView>
  </sheetViews>
  <sheetFormatPr baseColWidth="10" defaultColWidth="13.109375" defaultRowHeight="15.75" customHeight="1"/>
  <cols>
    <col min="1" max="1" width="79.88671875" style="73" customWidth="1"/>
    <col min="2" max="13" width="15.5546875" style="4" customWidth="1"/>
    <col min="14" max="14" width="15.5546875" style="41" customWidth="1"/>
    <col min="15" max="16" width="15.5546875" style="88" customWidth="1"/>
    <col min="17" max="17" width="11.44140625" style="35" customWidth="1"/>
    <col min="18" max="16384" width="13.109375" style="35"/>
  </cols>
  <sheetData>
    <row r="1" spans="1:23" s="39" customFormat="1" ht="15.75" customHeight="1">
      <c r="A1" s="145" t="s">
        <v>679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23" s="91" customFormat="1" ht="15.75" customHeight="1">
      <c r="A2" s="144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23" s="91" customFormat="1" ht="15.75" customHeight="1">
      <c r="A3" s="456" t="s">
        <v>1081</v>
      </c>
      <c r="B3" s="456"/>
      <c r="C3" s="456"/>
      <c r="D3" s="456"/>
      <c r="E3" s="456"/>
      <c r="F3" s="456"/>
      <c r="G3" s="456"/>
      <c r="H3" s="456"/>
      <c r="I3" s="456"/>
      <c r="J3" s="456"/>
      <c r="K3" s="456"/>
      <c r="L3" s="456"/>
      <c r="M3" s="456"/>
      <c r="N3" s="456"/>
      <c r="O3" s="456"/>
      <c r="P3" s="456"/>
    </row>
    <row r="4" spans="1:23" s="91" customFormat="1" ht="15.75" customHeight="1">
      <c r="A4" s="93"/>
      <c r="B4" s="14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7"/>
      <c r="P4" s="147"/>
    </row>
    <row r="5" spans="1:23" s="91" customFormat="1" ht="15.75" customHeight="1">
      <c r="A5" s="128"/>
      <c r="B5" s="96"/>
      <c r="C5" s="454" t="s">
        <v>222</v>
      </c>
      <c r="D5" s="454"/>
      <c r="E5" s="454"/>
      <c r="F5" s="454"/>
      <c r="G5" s="454"/>
      <c r="H5" s="454"/>
      <c r="I5" s="454"/>
      <c r="J5" s="454"/>
      <c r="K5" s="454"/>
      <c r="L5" s="454"/>
      <c r="M5" s="454"/>
      <c r="N5" s="454"/>
      <c r="O5" s="454"/>
      <c r="P5" s="454"/>
    </row>
    <row r="6" spans="1:23" s="91" customFormat="1" ht="15.75" customHeight="1">
      <c r="A6" s="58" t="s">
        <v>359</v>
      </c>
      <c r="B6" s="97" t="s">
        <v>221</v>
      </c>
      <c r="C6" s="97" t="s">
        <v>333</v>
      </c>
      <c r="D6" s="97" t="s">
        <v>360</v>
      </c>
      <c r="E6" s="97" t="s">
        <v>361</v>
      </c>
      <c r="F6" s="97" t="s">
        <v>228</v>
      </c>
      <c r="G6" s="97" t="s">
        <v>362</v>
      </c>
      <c r="H6" s="97" t="s">
        <v>231</v>
      </c>
      <c r="I6" s="97" t="s">
        <v>232</v>
      </c>
      <c r="J6" s="97" t="s">
        <v>363</v>
      </c>
      <c r="K6" s="97" t="s">
        <v>235</v>
      </c>
      <c r="L6" s="97" t="s">
        <v>364</v>
      </c>
      <c r="M6" s="97" t="s">
        <v>365</v>
      </c>
      <c r="N6" s="98" t="s">
        <v>366</v>
      </c>
      <c r="O6" s="63" t="s">
        <v>367</v>
      </c>
      <c r="P6" s="112" t="s">
        <v>368</v>
      </c>
    </row>
    <row r="7" spans="1:23" s="91" customFormat="1" ht="15.75" customHeight="1">
      <c r="A7" s="129"/>
      <c r="B7" s="101"/>
      <c r="C7" s="101"/>
      <c r="D7" s="101"/>
      <c r="E7" s="102" t="s">
        <v>369</v>
      </c>
      <c r="F7" s="102"/>
      <c r="G7" s="102"/>
      <c r="H7" s="101"/>
      <c r="I7" s="102"/>
      <c r="J7" s="102" t="s">
        <v>370</v>
      </c>
      <c r="K7" s="101"/>
      <c r="L7" s="102" t="s">
        <v>371</v>
      </c>
      <c r="M7" s="97" t="s">
        <v>372</v>
      </c>
      <c r="N7" s="103" t="s">
        <v>373</v>
      </c>
      <c r="O7" s="104" t="s">
        <v>370</v>
      </c>
      <c r="P7" s="130"/>
    </row>
    <row r="8" spans="1:23" s="91" customFormat="1" ht="15.75" customHeight="1">
      <c r="A8" s="106"/>
      <c r="B8" s="96"/>
      <c r="C8" s="108"/>
      <c r="D8" s="108"/>
      <c r="E8" s="110"/>
      <c r="F8" s="110"/>
      <c r="G8" s="110"/>
      <c r="H8" s="108"/>
      <c r="I8" s="110"/>
      <c r="J8" s="110"/>
      <c r="K8" s="108"/>
      <c r="L8" s="110"/>
      <c r="M8" s="110"/>
      <c r="N8" s="98"/>
      <c r="O8" s="19"/>
      <c r="P8" s="19"/>
    </row>
    <row r="9" spans="1:23" s="91" customFormat="1" ht="15.75" customHeight="1">
      <c r="A9" s="106" t="s">
        <v>221</v>
      </c>
      <c r="B9" s="107">
        <f>SUM(C9:P9)</f>
        <v>763580</v>
      </c>
      <c r="C9" s="97">
        <f>SUM(C59,C74,C205,C239,C324,C332,C404)</f>
        <v>18998</v>
      </c>
      <c r="D9" s="97">
        <f>SUM(D74+D87+D239+D324+D332+D404)</f>
        <v>73979</v>
      </c>
      <c r="E9" s="97">
        <f>SUM(E81)</f>
        <v>17662</v>
      </c>
      <c r="F9" s="97">
        <f>SUM(F91,F205,F227)</f>
        <v>29705</v>
      </c>
      <c r="G9" s="97">
        <f>SUM(G59,G121,G205)</f>
        <v>3237</v>
      </c>
      <c r="H9" s="97">
        <f>SUM(H141,H205,H257,H324,H332,H404)</f>
        <v>41676</v>
      </c>
      <c r="I9" s="97">
        <f>SUM(I15,I153,I410)</f>
        <v>313704</v>
      </c>
      <c r="J9" s="97">
        <f>SUM(J267,J332)</f>
        <v>44001</v>
      </c>
      <c r="K9" s="97">
        <f>SUM(K286,K332,K404,K267)</f>
        <v>83428</v>
      </c>
      <c r="L9" s="97">
        <f>SUM(L267,L303,L315,L332)</f>
        <v>33752</v>
      </c>
      <c r="M9" s="97">
        <f>SUM(M194,M205,M227,M410)</f>
        <v>19831</v>
      </c>
      <c r="N9" s="98">
        <f>SUM(N106,N205,N227,N315,N332)</f>
        <v>64509</v>
      </c>
      <c r="O9" s="112">
        <f>SUM(O13)</f>
        <v>17790</v>
      </c>
      <c r="P9" s="112">
        <f>SUM(P11)</f>
        <v>1308</v>
      </c>
    </row>
    <row r="10" spans="1:23" ht="15.75" customHeight="1">
      <c r="A10" s="113"/>
      <c r="B10" s="26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21"/>
      <c r="O10" s="19"/>
      <c r="P10" s="19"/>
    </row>
    <row r="11" spans="1:23" ht="15.75" customHeight="1">
      <c r="A11" s="113" t="s">
        <v>123</v>
      </c>
      <c r="B11" s="26">
        <f>SUM(C11:P11)</f>
        <v>1308</v>
      </c>
      <c r="C11" s="51" t="s">
        <v>374</v>
      </c>
      <c r="D11" s="51" t="s">
        <v>374</v>
      </c>
      <c r="E11" s="51" t="s">
        <v>374</v>
      </c>
      <c r="F11" s="51" t="s">
        <v>374</v>
      </c>
      <c r="G11" s="51" t="s">
        <v>374</v>
      </c>
      <c r="H11" s="51" t="s">
        <v>374</v>
      </c>
      <c r="I11" s="51" t="s">
        <v>374</v>
      </c>
      <c r="J11" s="51" t="s">
        <v>374</v>
      </c>
      <c r="K11" s="51" t="s">
        <v>374</v>
      </c>
      <c r="L11" s="51" t="s">
        <v>374</v>
      </c>
      <c r="M11" s="51" t="s">
        <v>374</v>
      </c>
      <c r="N11" s="21" t="s">
        <v>374</v>
      </c>
      <c r="O11" s="26" t="s">
        <v>374</v>
      </c>
      <c r="P11" s="65">
        <f>'c-26'!B13</f>
        <v>1308</v>
      </c>
    </row>
    <row r="12" spans="1:23" ht="15.75" customHeight="1">
      <c r="A12" s="113"/>
      <c r="B12" s="26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21"/>
      <c r="O12" s="19"/>
      <c r="P12" s="19"/>
    </row>
    <row r="13" spans="1:23" ht="15.75" customHeight="1">
      <c r="A13" s="113" t="s">
        <v>124</v>
      </c>
      <c r="B13" s="26">
        <f>SUM(C13:P13)</f>
        <v>17790</v>
      </c>
      <c r="C13" s="51" t="s">
        <v>374</v>
      </c>
      <c r="D13" s="51" t="s">
        <v>374</v>
      </c>
      <c r="E13" s="51" t="s">
        <v>374</v>
      </c>
      <c r="F13" s="51" t="s">
        <v>374</v>
      </c>
      <c r="G13" s="51" t="s">
        <v>374</v>
      </c>
      <c r="H13" s="51" t="s">
        <v>374</v>
      </c>
      <c r="I13" s="51" t="s">
        <v>374</v>
      </c>
      <c r="J13" s="51" t="s">
        <v>374</v>
      </c>
      <c r="K13" s="51" t="s">
        <v>374</v>
      </c>
      <c r="L13" s="51" t="s">
        <v>374</v>
      </c>
      <c r="M13" s="51" t="s">
        <v>374</v>
      </c>
      <c r="N13" s="21" t="s">
        <v>374</v>
      </c>
      <c r="O13" s="65">
        <f>'c-25'!B12</f>
        <v>17790</v>
      </c>
      <c r="P13" s="112" t="s">
        <v>374</v>
      </c>
    </row>
    <row r="14" spans="1:23" ht="15.75" customHeight="1">
      <c r="A14" s="113"/>
      <c r="B14" s="26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21"/>
      <c r="O14" s="19"/>
      <c r="P14" s="19"/>
    </row>
    <row r="15" spans="1:23" s="91" customFormat="1" ht="15.75" customHeight="1">
      <c r="A15" s="106" t="s">
        <v>375</v>
      </c>
      <c r="B15" s="62">
        <f>SUM(B17:B55)</f>
        <v>19915</v>
      </c>
      <c r="C15" s="97" t="s">
        <v>374</v>
      </c>
      <c r="D15" s="97" t="s">
        <v>374</v>
      </c>
      <c r="E15" s="97" t="s">
        <v>374</v>
      </c>
      <c r="F15" s="97" t="s">
        <v>374</v>
      </c>
      <c r="G15" s="97" t="s">
        <v>374</v>
      </c>
      <c r="H15" s="97" t="s">
        <v>374</v>
      </c>
      <c r="I15" s="62">
        <f>SUM(I17:I55)</f>
        <v>19915</v>
      </c>
      <c r="J15" s="97" t="s">
        <v>374</v>
      </c>
      <c r="K15" s="97" t="s">
        <v>374</v>
      </c>
      <c r="L15" s="97" t="s">
        <v>374</v>
      </c>
      <c r="M15" s="97" t="s">
        <v>374</v>
      </c>
      <c r="N15" s="98" t="s">
        <v>374</v>
      </c>
      <c r="O15" s="112" t="s">
        <v>374</v>
      </c>
      <c r="P15" s="112" t="s">
        <v>374</v>
      </c>
      <c r="V15" s="35"/>
      <c r="W15" s="35"/>
    </row>
    <row r="16" spans="1:23" s="91" customFormat="1" ht="15.75" customHeight="1">
      <c r="A16" s="106"/>
      <c r="B16" s="62"/>
      <c r="C16" s="114"/>
      <c r="D16" s="114"/>
      <c r="E16" s="114"/>
      <c r="F16" s="114"/>
      <c r="G16" s="114"/>
      <c r="H16" s="114"/>
      <c r="I16" s="62"/>
      <c r="J16" s="114"/>
      <c r="K16" s="114"/>
      <c r="L16" s="114"/>
      <c r="M16" s="114"/>
      <c r="N16" s="115"/>
      <c r="O16" s="65"/>
      <c r="P16" s="65"/>
      <c r="V16" s="35"/>
      <c r="W16" s="35"/>
    </row>
    <row r="17" spans="1:23" ht="15.75" customHeight="1">
      <c r="A17" s="116" t="s">
        <v>376</v>
      </c>
      <c r="B17" s="26">
        <f>SUM(C17:P17)</f>
        <v>1342</v>
      </c>
      <c r="C17" s="117" t="s">
        <v>374</v>
      </c>
      <c r="D17" s="117" t="s">
        <v>374</v>
      </c>
      <c r="E17" s="117" t="s">
        <v>374</v>
      </c>
      <c r="F17" s="117" t="s">
        <v>374</v>
      </c>
      <c r="G17" s="117" t="s">
        <v>374</v>
      </c>
      <c r="H17" s="117" t="s">
        <v>374</v>
      </c>
      <c r="I17" s="24">
        <f>'c-20'!F12</f>
        <v>1342</v>
      </c>
      <c r="J17" s="117" t="s">
        <v>374</v>
      </c>
      <c r="K17" s="117" t="s">
        <v>374</v>
      </c>
      <c r="L17" s="117" t="s">
        <v>374</v>
      </c>
      <c r="M17" s="117" t="s">
        <v>374</v>
      </c>
      <c r="N17" s="118" t="s">
        <v>374</v>
      </c>
      <c r="O17" s="65" t="s">
        <v>374</v>
      </c>
      <c r="P17" s="65" t="s">
        <v>374</v>
      </c>
    </row>
    <row r="18" spans="1:23" ht="15.75" customHeight="1">
      <c r="A18" s="116" t="s">
        <v>125</v>
      </c>
      <c r="B18" s="26">
        <f t="shared" ref="B18:B55" si="0">SUM(C18:P18)</f>
        <v>1439</v>
      </c>
      <c r="C18" s="117" t="s">
        <v>374</v>
      </c>
      <c r="D18" s="117" t="s">
        <v>374</v>
      </c>
      <c r="E18" s="117" t="s">
        <v>374</v>
      </c>
      <c r="F18" s="117" t="s">
        <v>374</v>
      </c>
      <c r="G18" s="117" t="s">
        <v>374</v>
      </c>
      <c r="H18" s="117" t="s">
        <v>374</v>
      </c>
      <c r="I18" s="24">
        <f>'c-20'!F13</f>
        <v>1439</v>
      </c>
      <c r="J18" s="117" t="s">
        <v>374</v>
      </c>
      <c r="K18" s="117" t="s">
        <v>374</v>
      </c>
      <c r="L18" s="117" t="s">
        <v>374</v>
      </c>
      <c r="M18" s="117" t="s">
        <v>374</v>
      </c>
      <c r="N18" s="118" t="s">
        <v>374</v>
      </c>
      <c r="O18" s="65" t="s">
        <v>374</v>
      </c>
      <c r="P18" s="65" t="s">
        <v>374</v>
      </c>
    </row>
    <row r="19" spans="1:23" ht="15.75" customHeight="1">
      <c r="A19" s="116" t="s">
        <v>126</v>
      </c>
      <c r="B19" s="26">
        <f t="shared" si="0"/>
        <v>869</v>
      </c>
      <c r="C19" s="117" t="s">
        <v>374</v>
      </c>
      <c r="D19" s="117" t="s">
        <v>374</v>
      </c>
      <c r="E19" s="117" t="s">
        <v>374</v>
      </c>
      <c r="F19" s="117" t="s">
        <v>374</v>
      </c>
      <c r="G19" s="117" t="s">
        <v>374</v>
      </c>
      <c r="H19" s="117" t="s">
        <v>374</v>
      </c>
      <c r="I19" s="24">
        <f>'c-20'!F20</f>
        <v>869</v>
      </c>
      <c r="J19" s="117" t="s">
        <v>374</v>
      </c>
      <c r="K19" s="117" t="s">
        <v>374</v>
      </c>
      <c r="L19" s="117" t="s">
        <v>374</v>
      </c>
      <c r="M19" s="117" t="s">
        <v>374</v>
      </c>
      <c r="N19" s="118" t="s">
        <v>374</v>
      </c>
      <c r="O19" s="65" t="s">
        <v>374</v>
      </c>
      <c r="P19" s="65" t="s">
        <v>374</v>
      </c>
    </row>
    <row r="20" spans="1:23" ht="15.75" customHeight="1">
      <c r="A20" s="116" t="s">
        <v>377</v>
      </c>
      <c r="B20" s="26">
        <f t="shared" si="0"/>
        <v>524</v>
      </c>
      <c r="C20" s="117" t="s">
        <v>374</v>
      </c>
      <c r="D20" s="117" t="s">
        <v>374</v>
      </c>
      <c r="E20" s="117" t="s">
        <v>374</v>
      </c>
      <c r="F20" s="117" t="s">
        <v>374</v>
      </c>
      <c r="G20" s="117" t="s">
        <v>374</v>
      </c>
      <c r="H20" s="117" t="s">
        <v>374</v>
      </c>
      <c r="I20" s="24">
        <f>'c-20'!F21</f>
        <v>524</v>
      </c>
      <c r="J20" s="117" t="s">
        <v>374</v>
      </c>
      <c r="K20" s="117" t="s">
        <v>374</v>
      </c>
      <c r="L20" s="117" t="s">
        <v>374</v>
      </c>
      <c r="M20" s="117" t="s">
        <v>374</v>
      </c>
      <c r="N20" s="118" t="s">
        <v>374</v>
      </c>
      <c r="O20" s="65" t="s">
        <v>374</v>
      </c>
      <c r="P20" s="65" t="s">
        <v>374</v>
      </c>
    </row>
    <row r="21" spans="1:23" ht="15.75" customHeight="1">
      <c r="A21" s="116" t="s">
        <v>378</v>
      </c>
      <c r="B21" s="26">
        <f t="shared" si="0"/>
        <v>559</v>
      </c>
      <c r="C21" s="117" t="s">
        <v>374</v>
      </c>
      <c r="D21" s="117" t="s">
        <v>374</v>
      </c>
      <c r="E21" s="117" t="s">
        <v>374</v>
      </c>
      <c r="F21" s="117" t="s">
        <v>374</v>
      </c>
      <c r="G21" s="117" t="s">
        <v>374</v>
      </c>
      <c r="H21" s="117" t="s">
        <v>374</v>
      </c>
      <c r="I21" s="24">
        <f>'c-20'!F16</f>
        <v>559</v>
      </c>
      <c r="J21" s="117" t="s">
        <v>374</v>
      </c>
      <c r="K21" s="117" t="s">
        <v>374</v>
      </c>
      <c r="L21" s="117" t="s">
        <v>374</v>
      </c>
      <c r="M21" s="117" t="s">
        <v>374</v>
      </c>
      <c r="N21" s="118" t="s">
        <v>374</v>
      </c>
      <c r="O21" s="65" t="s">
        <v>374</v>
      </c>
      <c r="P21" s="65" t="s">
        <v>374</v>
      </c>
    </row>
    <row r="22" spans="1:23" ht="15.75" customHeight="1">
      <c r="A22" s="116" t="s">
        <v>127</v>
      </c>
      <c r="B22" s="26">
        <f t="shared" si="0"/>
        <v>1038</v>
      </c>
      <c r="C22" s="117" t="s">
        <v>374</v>
      </c>
      <c r="D22" s="117" t="s">
        <v>374</v>
      </c>
      <c r="E22" s="117" t="s">
        <v>374</v>
      </c>
      <c r="F22" s="117" t="s">
        <v>374</v>
      </c>
      <c r="G22" s="117" t="s">
        <v>374</v>
      </c>
      <c r="H22" s="117" t="s">
        <v>374</v>
      </c>
      <c r="I22" s="24">
        <f>'c-20'!F17</f>
        <v>1038</v>
      </c>
      <c r="J22" s="117" t="s">
        <v>374</v>
      </c>
      <c r="K22" s="117" t="s">
        <v>374</v>
      </c>
      <c r="L22" s="117" t="s">
        <v>374</v>
      </c>
      <c r="M22" s="117" t="s">
        <v>374</v>
      </c>
      <c r="N22" s="118" t="s">
        <v>374</v>
      </c>
      <c r="O22" s="65" t="s">
        <v>374</v>
      </c>
      <c r="P22" s="65" t="s">
        <v>374</v>
      </c>
    </row>
    <row r="23" spans="1:23" ht="15.75" customHeight="1">
      <c r="A23" s="116" t="s">
        <v>563</v>
      </c>
      <c r="B23" s="26">
        <f t="shared" si="0"/>
        <v>552</v>
      </c>
      <c r="C23" s="117" t="s">
        <v>374</v>
      </c>
      <c r="D23" s="117" t="s">
        <v>374</v>
      </c>
      <c r="E23" s="117" t="s">
        <v>374</v>
      </c>
      <c r="F23" s="117" t="s">
        <v>374</v>
      </c>
      <c r="G23" s="117" t="s">
        <v>374</v>
      </c>
      <c r="H23" s="117" t="s">
        <v>374</v>
      </c>
      <c r="I23" s="24">
        <f>'c-20'!F62</f>
        <v>552</v>
      </c>
      <c r="J23" s="117" t="s">
        <v>374</v>
      </c>
      <c r="K23" s="117" t="s">
        <v>374</v>
      </c>
      <c r="L23" s="117" t="s">
        <v>374</v>
      </c>
      <c r="M23" s="117" t="s">
        <v>374</v>
      </c>
      <c r="N23" s="118" t="s">
        <v>374</v>
      </c>
      <c r="O23" s="65" t="s">
        <v>374</v>
      </c>
      <c r="P23" s="65" t="s">
        <v>374</v>
      </c>
    </row>
    <row r="24" spans="1:23" ht="15.75" customHeight="1">
      <c r="A24" s="116" t="s">
        <v>564</v>
      </c>
      <c r="B24" s="26">
        <f t="shared" si="0"/>
        <v>540</v>
      </c>
      <c r="C24" s="117" t="s">
        <v>374</v>
      </c>
      <c r="D24" s="117" t="s">
        <v>374</v>
      </c>
      <c r="E24" s="117" t="s">
        <v>374</v>
      </c>
      <c r="F24" s="117" t="s">
        <v>374</v>
      </c>
      <c r="G24" s="117" t="s">
        <v>374</v>
      </c>
      <c r="H24" s="117" t="s">
        <v>374</v>
      </c>
      <c r="I24" s="24">
        <f>'c-20'!F63</f>
        <v>540</v>
      </c>
      <c r="J24" s="117" t="s">
        <v>374</v>
      </c>
      <c r="K24" s="117" t="s">
        <v>374</v>
      </c>
      <c r="L24" s="117" t="s">
        <v>374</v>
      </c>
      <c r="M24" s="117" t="s">
        <v>374</v>
      </c>
      <c r="N24" s="118" t="s">
        <v>374</v>
      </c>
      <c r="O24" s="65" t="s">
        <v>374</v>
      </c>
      <c r="P24" s="65" t="s">
        <v>374</v>
      </c>
    </row>
    <row r="25" spans="1:23" ht="15.75" customHeight="1">
      <c r="A25" s="116" t="s">
        <v>565</v>
      </c>
      <c r="B25" s="26">
        <f t="shared" si="0"/>
        <v>908</v>
      </c>
      <c r="C25" s="117" t="s">
        <v>374</v>
      </c>
      <c r="D25" s="117" t="s">
        <v>374</v>
      </c>
      <c r="E25" s="117" t="s">
        <v>374</v>
      </c>
      <c r="F25" s="117" t="s">
        <v>374</v>
      </c>
      <c r="G25" s="117" t="s">
        <v>374</v>
      </c>
      <c r="H25" s="117" t="s">
        <v>374</v>
      </c>
      <c r="I25" s="24">
        <f>'c-20'!F24</f>
        <v>908</v>
      </c>
      <c r="J25" s="117" t="s">
        <v>374</v>
      </c>
      <c r="K25" s="117" t="s">
        <v>374</v>
      </c>
      <c r="L25" s="117" t="s">
        <v>374</v>
      </c>
      <c r="M25" s="117" t="s">
        <v>374</v>
      </c>
      <c r="N25" s="118" t="s">
        <v>374</v>
      </c>
      <c r="O25" s="65" t="s">
        <v>374</v>
      </c>
      <c r="P25" s="65" t="s">
        <v>374</v>
      </c>
    </row>
    <row r="26" spans="1:23" ht="15.75" customHeight="1">
      <c r="A26" s="116" t="s">
        <v>128</v>
      </c>
      <c r="B26" s="26">
        <f t="shared" si="0"/>
        <v>316</v>
      </c>
      <c r="C26" s="117" t="s">
        <v>374</v>
      </c>
      <c r="D26" s="117" t="s">
        <v>374</v>
      </c>
      <c r="E26" s="117" t="s">
        <v>374</v>
      </c>
      <c r="F26" s="117" t="s">
        <v>374</v>
      </c>
      <c r="G26" s="117" t="s">
        <v>374</v>
      </c>
      <c r="H26" s="117" t="s">
        <v>374</v>
      </c>
      <c r="I26" s="24">
        <f>'c-20'!F25</f>
        <v>316</v>
      </c>
      <c r="J26" s="117" t="s">
        <v>374</v>
      </c>
      <c r="K26" s="117" t="s">
        <v>374</v>
      </c>
      <c r="L26" s="117" t="s">
        <v>374</v>
      </c>
      <c r="M26" s="117" t="s">
        <v>374</v>
      </c>
      <c r="N26" s="118" t="s">
        <v>374</v>
      </c>
      <c r="O26" s="65" t="s">
        <v>374</v>
      </c>
      <c r="P26" s="65" t="s">
        <v>374</v>
      </c>
      <c r="V26" s="91"/>
      <c r="W26" s="91"/>
    </row>
    <row r="27" spans="1:23" ht="15.75" customHeight="1">
      <c r="A27" s="116" t="s">
        <v>566</v>
      </c>
      <c r="B27" s="26">
        <f t="shared" si="0"/>
        <v>197</v>
      </c>
      <c r="C27" s="117" t="s">
        <v>374</v>
      </c>
      <c r="D27" s="117" t="s">
        <v>374</v>
      </c>
      <c r="E27" s="117" t="s">
        <v>374</v>
      </c>
      <c r="F27" s="117" t="s">
        <v>374</v>
      </c>
      <c r="G27" s="117" t="s">
        <v>374</v>
      </c>
      <c r="H27" s="117" t="s">
        <v>374</v>
      </c>
      <c r="I27" s="24">
        <f>'c-20'!F32</f>
        <v>197</v>
      </c>
      <c r="J27" s="117" t="s">
        <v>374</v>
      </c>
      <c r="K27" s="117" t="s">
        <v>374</v>
      </c>
      <c r="L27" s="117" t="s">
        <v>374</v>
      </c>
      <c r="M27" s="117" t="s">
        <v>374</v>
      </c>
      <c r="N27" s="118" t="s">
        <v>374</v>
      </c>
      <c r="O27" s="65" t="s">
        <v>374</v>
      </c>
      <c r="P27" s="65" t="s">
        <v>374</v>
      </c>
      <c r="V27" s="91"/>
      <c r="W27" s="91"/>
    </row>
    <row r="28" spans="1:23" ht="15.75" customHeight="1">
      <c r="A28" s="116" t="s">
        <v>567</v>
      </c>
      <c r="B28" s="26">
        <f t="shared" si="0"/>
        <v>215</v>
      </c>
      <c r="C28" s="117" t="s">
        <v>374</v>
      </c>
      <c r="D28" s="117" t="s">
        <v>374</v>
      </c>
      <c r="E28" s="117" t="s">
        <v>374</v>
      </c>
      <c r="F28" s="117" t="s">
        <v>374</v>
      </c>
      <c r="G28" s="117" t="s">
        <v>374</v>
      </c>
      <c r="H28" s="117" t="s">
        <v>374</v>
      </c>
      <c r="I28" s="24">
        <f>'c-20'!F33</f>
        <v>215</v>
      </c>
      <c r="J28" s="117" t="s">
        <v>374</v>
      </c>
      <c r="K28" s="117" t="s">
        <v>374</v>
      </c>
      <c r="L28" s="117" t="s">
        <v>374</v>
      </c>
      <c r="M28" s="117" t="s">
        <v>374</v>
      </c>
      <c r="N28" s="118" t="s">
        <v>374</v>
      </c>
      <c r="O28" s="65" t="s">
        <v>374</v>
      </c>
      <c r="P28" s="65" t="s">
        <v>374</v>
      </c>
      <c r="V28" s="91"/>
      <c r="W28" s="91"/>
    </row>
    <row r="29" spans="1:23" ht="15.75" customHeight="1">
      <c r="A29" s="116" t="s">
        <v>568</v>
      </c>
      <c r="B29" s="26">
        <f t="shared" si="0"/>
        <v>186</v>
      </c>
      <c r="C29" s="117" t="s">
        <v>374</v>
      </c>
      <c r="D29" s="117" t="s">
        <v>374</v>
      </c>
      <c r="E29" s="117" t="s">
        <v>374</v>
      </c>
      <c r="F29" s="117" t="s">
        <v>374</v>
      </c>
      <c r="G29" s="117" t="s">
        <v>374</v>
      </c>
      <c r="H29" s="117" t="s">
        <v>374</v>
      </c>
      <c r="I29" s="24">
        <f>'c-20'!F34</f>
        <v>186</v>
      </c>
      <c r="J29" s="117" t="s">
        <v>374</v>
      </c>
      <c r="K29" s="117" t="s">
        <v>374</v>
      </c>
      <c r="L29" s="117" t="s">
        <v>374</v>
      </c>
      <c r="M29" s="117" t="s">
        <v>374</v>
      </c>
      <c r="N29" s="118" t="s">
        <v>374</v>
      </c>
      <c r="O29" s="65" t="s">
        <v>374</v>
      </c>
      <c r="P29" s="65" t="s">
        <v>374</v>
      </c>
    </row>
    <row r="30" spans="1:23" ht="15.75" customHeight="1">
      <c r="A30" s="116" t="s">
        <v>129</v>
      </c>
      <c r="B30" s="26">
        <f t="shared" si="0"/>
        <v>560</v>
      </c>
      <c r="C30" s="117" t="s">
        <v>374</v>
      </c>
      <c r="D30" s="117" t="s">
        <v>374</v>
      </c>
      <c r="E30" s="117" t="s">
        <v>374</v>
      </c>
      <c r="F30" s="117" t="s">
        <v>374</v>
      </c>
      <c r="G30" s="117" t="s">
        <v>374</v>
      </c>
      <c r="H30" s="117" t="s">
        <v>374</v>
      </c>
      <c r="I30" s="24">
        <f>'c-20'!F28</f>
        <v>560</v>
      </c>
      <c r="J30" s="117" t="s">
        <v>374</v>
      </c>
      <c r="K30" s="117" t="s">
        <v>374</v>
      </c>
      <c r="L30" s="117" t="s">
        <v>374</v>
      </c>
      <c r="M30" s="117" t="s">
        <v>374</v>
      </c>
      <c r="N30" s="118" t="s">
        <v>374</v>
      </c>
      <c r="O30" s="65" t="s">
        <v>374</v>
      </c>
      <c r="P30" s="65" t="s">
        <v>374</v>
      </c>
    </row>
    <row r="31" spans="1:23" ht="15.75" customHeight="1">
      <c r="A31" s="116" t="s">
        <v>130</v>
      </c>
      <c r="B31" s="26">
        <f t="shared" si="0"/>
        <v>544</v>
      </c>
      <c r="C31" s="117" t="s">
        <v>374</v>
      </c>
      <c r="D31" s="117" t="s">
        <v>374</v>
      </c>
      <c r="E31" s="117" t="s">
        <v>374</v>
      </c>
      <c r="F31" s="117" t="s">
        <v>374</v>
      </c>
      <c r="G31" s="117" t="s">
        <v>374</v>
      </c>
      <c r="H31" s="117" t="s">
        <v>374</v>
      </c>
      <c r="I31" s="24">
        <f>'c-20'!F29</f>
        <v>544</v>
      </c>
      <c r="J31" s="117" t="s">
        <v>374</v>
      </c>
      <c r="K31" s="117" t="s">
        <v>374</v>
      </c>
      <c r="L31" s="117" t="s">
        <v>374</v>
      </c>
      <c r="M31" s="117" t="s">
        <v>374</v>
      </c>
      <c r="N31" s="118" t="s">
        <v>374</v>
      </c>
      <c r="O31" s="65" t="s">
        <v>374</v>
      </c>
      <c r="P31" s="65" t="s">
        <v>374</v>
      </c>
    </row>
    <row r="32" spans="1:23" ht="15.75" customHeight="1">
      <c r="A32" s="116" t="s">
        <v>569</v>
      </c>
      <c r="B32" s="26">
        <f t="shared" si="0"/>
        <v>1111</v>
      </c>
      <c r="C32" s="117" t="s">
        <v>374</v>
      </c>
      <c r="D32" s="117" t="s">
        <v>374</v>
      </c>
      <c r="E32" s="117" t="s">
        <v>374</v>
      </c>
      <c r="F32" s="117" t="s">
        <v>374</v>
      </c>
      <c r="G32" s="117" t="s">
        <v>374</v>
      </c>
      <c r="H32" s="117" t="s">
        <v>374</v>
      </c>
      <c r="I32" s="24">
        <f>'c-20'!F37</f>
        <v>1111</v>
      </c>
      <c r="J32" s="117" t="s">
        <v>374</v>
      </c>
      <c r="K32" s="117" t="s">
        <v>374</v>
      </c>
      <c r="L32" s="117" t="s">
        <v>374</v>
      </c>
      <c r="M32" s="117" t="s">
        <v>374</v>
      </c>
      <c r="N32" s="118" t="s">
        <v>374</v>
      </c>
      <c r="O32" s="65" t="s">
        <v>374</v>
      </c>
      <c r="P32" s="65" t="s">
        <v>374</v>
      </c>
    </row>
    <row r="33" spans="1:23" ht="15.75" customHeight="1">
      <c r="A33" s="116" t="s">
        <v>131</v>
      </c>
      <c r="B33" s="26">
        <f t="shared" si="0"/>
        <v>247</v>
      </c>
      <c r="C33" s="117" t="s">
        <v>374</v>
      </c>
      <c r="D33" s="117" t="s">
        <v>374</v>
      </c>
      <c r="E33" s="117" t="s">
        <v>374</v>
      </c>
      <c r="F33" s="117" t="s">
        <v>374</v>
      </c>
      <c r="G33" s="117" t="s">
        <v>374</v>
      </c>
      <c r="H33" s="117" t="s">
        <v>374</v>
      </c>
      <c r="I33" s="24">
        <f>'c-20'!F38</f>
        <v>247</v>
      </c>
      <c r="J33" s="117" t="s">
        <v>374</v>
      </c>
      <c r="K33" s="117" t="s">
        <v>374</v>
      </c>
      <c r="L33" s="117" t="s">
        <v>374</v>
      </c>
      <c r="M33" s="117" t="s">
        <v>374</v>
      </c>
      <c r="N33" s="118" t="s">
        <v>374</v>
      </c>
      <c r="O33" s="65" t="s">
        <v>374</v>
      </c>
      <c r="P33" s="65" t="s">
        <v>374</v>
      </c>
    </row>
    <row r="34" spans="1:23" ht="15.75" customHeight="1">
      <c r="A34" s="116" t="s">
        <v>570</v>
      </c>
      <c r="B34" s="26">
        <f t="shared" si="0"/>
        <v>216</v>
      </c>
      <c r="C34" s="117" t="s">
        <v>374</v>
      </c>
      <c r="D34" s="117" t="s">
        <v>374</v>
      </c>
      <c r="E34" s="117" t="s">
        <v>374</v>
      </c>
      <c r="F34" s="117" t="s">
        <v>374</v>
      </c>
      <c r="G34" s="117" t="s">
        <v>374</v>
      </c>
      <c r="H34" s="117" t="s">
        <v>374</v>
      </c>
      <c r="I34" s="24">
        <f>'c-20'!F39</f>
        <v>216</v>
      </c>
      <c r="J34" s="117" t="s">
        <v>374</v>
      </c>
      <c r="K34" s="117" t="s">
        <v>374</v>
      </c>
      <c r="L34" s="117" t="s">
        <v>374</v>
      </c>
      <c r="M34" s="117" t="s">
        <v>374</v>
      </c>
      <c r="N34" s="118" t="s">
        <v>374</v>
      </c>
      <c r="O34" s="65" t="s">
        <v>374</v>
      </c>
      <c r="P34" s="65" t="s">
        <v>374</v>
      </c>
    </row>
    <row r="35" spans="1:23" ht="15.75" customHeight="1">
      <c r="A35" s="116" t="s">
        <v>571</v>
      </c>
      <c r="B35" s="26">
        <f t="shared" si="0"/>
        <v>575</v>
      </c>
      <c r="C35" s="117" t="s">
        <v>374</v>
      </c>
      <c r="D35" s="117" t="s">
        <v>374</v>
      </c>
      <c r="E35" s="117" t="s">
        <v>374</v>
      </c>
      <c r="F35" s="117" t="s">
        <v>374</v>
      </c>
      <c r="G35" s="117" t="s">
        <v>374</v>
      </c>
      <c r="H35" s="117" t="s">
        <v>374</v>
      </c>
      <c r="I35" s="24">
        <f>'c-20'!F42</f>
        <v>575</v>
      </c>
      <c r="J35" s="117" t="s">
        <v>374</v>
      </c>
      <c r="K35" s="117" t="s">
        <v>374</v>
      </c>
      <c r="L35" s="117" t="s">
        <v>374</v>
      </c>
      <c r="M35" s="117" t="s">
        <v>374</v>
      </c>
      <c r="N35" s="118" t="s">
        <v>374</v>
      </c>
      <c r="O35" s="65" t="s">
        <v>374</v>
      </c>
      <c r="P35" s="65" t="s">
        <v>374</v>
      </c>
    </row>
    <row r="36" spans="1:23" ht="15.75" customHeight="1">
      <c r="A36" s="116" t="s">
        <v>122</v>
      </c>
      <c r="B36" s="26">
        <f t="shared" si="0"/>
        <v>691</v>
      </c>
      <c r="C36" s="117" t="s">
        <v>374</v>
      </c>
      <c r="D36" s="117" t="s">
        <v>374</v>
      </c>
      <c r="E36" s="117" t="s">
        <v>374</v>
      </c>
      <c r="F36" s="117" t="s">
        <v>374</v>
      </c>
      <c r="G36" s="117" t="s">
        <v>374</v>
      </c>
      <c r="H36" s="117" t="s">
        <v>374</v>
      </c>
      <c r="I36" s="24">
        <f>'c-20'!F43</f>
        <v>691</v>
      </c>
      <c r="J36" s="117" t="s">
        <v>374</v>
      </c>
      <c r="K36" s="117" t="s">
        <v>374</v>
      </c>
      <c r="L36" s="117" t="s">
        <v>374</v>
      </c>
      <c r="M36" s="117" t="s">
        <v>374</v>
      </c>
      <c r="N36" s="118" t="s">
        <v>374</v>
      </c>
      <c r="O36" s="65" t="s">
        <v>374</v>
      </c>
      <c r="P36" s="65" t="s">
        <v>374</v>
      </c>
    </row>
    <row r="37" spans="1:23" ht="15.75" customHeight="1">
      <c r="A37" s="116" t="s">
        <v>572</v>
      </c>
      <c r="B37" s="26">
        <f t="shared" si="0"/>
        <v>193</v>
      </c>
      <c r="C37" s="117" t="s">
        <v>374</v>
      </c>
      <c r="D37" s="117" t="s">
        <v>374</v>
      </c>
      <c r="E37" s="117" t="s">
        <v>374</v>
      </c>
      <c r="F37" s="117" t="s">
        <v>374</v>
      </c>
      <c r="G37" s="117" t="s">
        <v>374</v>
      </c>
      <c r="H37" s="117" t="s">
        <v>374</v>
      </c>
      <c r="I37" s="24">
        <f>'c-20'!F44</f>
        <v>193</v>
      </c>
      <c r="J37" s="117" t="s">
        <v>374</v>
      </c>
      <c r="K37" s="117" t="s">
        <v>374</v>
      </c>
      <c r="L37" s="117" t="s">
        <v>374</v>
      </c>
      <c r="M37" s="117" t="s">
        <v>374</v>
      </c>
      <c r="N37" s="118" t="s">
        <v>374</v>
      </c>
      <c r="O37" s="65" t="s">
        <v>374</v>
      </c>
      <c r="P37" s="65" t="s">
        <v>374</v>
      </c>
    </row>
    <row r="38" spans="1:23" ht="15.75" customHeight="1">
      <c r="A38" s="116" t="s">
        <v>573</v>
      </c>
      <c r="B38" s="26">
        <f t="shared" si="0"/>
        <v>554</v>
      </c>
      <c r="C38" s="117" t="s">
        <v>374</v>
      </c>
      <c r="D38" s="117" t="s">
        <v>374</v>
      </c>
      <c r="E38" s="117" t="s">
        <v>374</v>
      </c>
      <c r="F38" s="117" t="s">
        <v>374</v>
      </c>
      <c r="G38" s="117" t="s">
        <v>374</v>
      </c>
      <c r="H38" s="117" t="s">
        <v>374</v>
      </c>
      <c r="I38" s="24">
        <f>'c-20'!F47</f>
        <v>554</v>
      </c>
      <c r="J38" s="117" t="s">
        <v>374</v>
      </c>
      <c r="K38" s="117" t="s">
        <v>374</v>
      </c>
      <c r="L38" s="117" t="s">
        <v>374</v>
      </c>
      <c r="M38" s="117" t="s">
        <v>374</v>
      </c>
      <c r="N38" s="118" t="s">
        <v>374</v>
      </c>
      <c r="O38" s="65" t="s">
        <v>374</v>
      </c>
      <c r="P38" s="65" t="s">
        <v>374</v>
      </c>
    </row>
    <row r="39" spans="1:23" ht="15.75" customHeight="1">
      <c r="A39" s="116" t="s">
        <v>574</v>
      </c>
      <c r="B39" s="26">
        <f t="shared" si="0"/>
        <v>413</v>
      </c>
      <c r="C39" s="117" t="s">
        <v>374</v>
      </c>
      <c r="D39" s="117" t="s">
        <v>374</v>
      </c>
      <c r="E39" s="117" t="s">
        <v>374</v>
      </c>
      <c r="F39" s="117" t="s">
        <v>374</v>
      </c>
      <c r="G39" s="117" t="s">
        <v>374</v>
      </c>
      <c r="H39" s="117" t="s">
        <v>374</v>
      </c>
      <c r="I39" s="24">
        <f>'c-20'!F48</f>
        <v>413</v>
      </c>
      <c r="J39" s="117" t="s">
        <v>374</v>
      </c>
      <c r="K39" s="117" t="s">
        <v>374</v>
      </c>
      <c r="L39" s="117" t="s">
        <v>374</v>
      </c>
      <c r="M39" s="117" t="s">
        <v>374</v>
      </c>
      <c r="N39" s="118" t="s">
        <v>374</v>
      </c>
      <c r="O39" s="65" t="s">
        <v>374</v>
      </c>
      <c r="P39" s="65" t="s">
        <v>374</v>
      </c>
    </row>
    <row r="40" spans="1:23" ht="15.75" customHeight="1">
      <c r="A40" s="116" t="s">
        <v>575</v>
      </c>
      <c r="B40" s="26">
        <f t="shared" si="0"/>
        <v>186</v>
      </c>
      <c r="C40" s="117" t="s">
        <v>374</v>
      </c>
      <c r="D40" s="117" t="s">
        <v>374</v>
      </c>
      <c r="E40" s="117" t="s">
        <v>374</v>
      </c>
      <c r="F40" s="117" t="s">
        <v>374</v>
      </c>
      <c r="G40" s="117" t="s">
        <v>374</v>
      </c>
      <c r="H40" s="117" t="s">
        <v>374</v>
      </c>
      <c r="I40" s="24">
        <f>'c-20'!F49</f>
        <v>186</v>
      </c>
      <c r="J40" s="117" t="s">
        <v>374</v>
      </c>
      <c r="K40" s="117" t="s">
        <v>374</v>
      </c>
      <c r="L40" s="117" t="s">
        <v>374</v>
      </c>
      <c r="M40" s="117" t="s">
        <v>374</v>
      </c>
      <c r="N40" s="118" t="s">
        <v>374</v>
      </c>
      <c r="O40" s="65" t="s">
        <v>374</v>
      </c>
      <c r="P40" s="65" t="s">
        <v>374</v>
      </c>
    </row>
    <row r="41" spans="1:23" ht="15.75" customHeight="1">
      <c r="A41" s="116" t="s">
        <v>576</v>
      </c>
      <c r="B41" s="26">
        <f t="shared" si="0"/>
        <v>270</v>
      </c>
      <c r="C41" s="117" t="s">
        <v>374</v>
      </c>
      <c r="D41" s="117" t="s">
        <v>374</v>
      </c>
      <c r="E41" s="117" t="s">
        <v>374</v>
      </c>
      <c r="F41" s="117" t="s">
        <v>374</v>
      </c>
      <c r="G41" s="117" t="s">
        <v>374</v>
      </c>
      <c r="H41" s="117" t="s">
        <v>374</v>
      </c>
      <c r="I41" s="24">
        <f>'c-20'!F52</f>
        <v>270</v>
      </c>
      <c r="J41" s="117" t="s">
        <v>374</v>
      </c>
      <c r="K41" s="117" t="s">
        <v>374</v>
      </c>
      <c r="L41" s="117" t="s">
        <v>374</v>
      </c>
      <c r="M41" s="117" t="s">
        <v>374</v>
      </c>
      <c r="N41" s="118" t="s">
        <v>374</v>
      </c>
      <c r="O41" s="65" t="s">
        <v>374</v>
      </c>
      <c r="P41" s="65" t="s">
        <v>374</v>
      </c>
      <c r="V41" s="91"/>
      <c r="W41" s="91"/>
    </row>
    <row r="42" spans="1:23" ht="15.75" customHeight="1">
      <c r="A42" s="116" t="s">
        <v>577</v>
      </c>
      <c r="B42" s="26">
        <f t="shared" si="0"/>
        <v>556</v>
      </c>
      <c r="C42" s="117" t="s">
        <v>374</v>
      </c>
      <c r="D42" s="117" t="s">
        <v>374</v>
      </c>
      <c r="E42" s="117" t="s">
        <v>374</v>
      </c>
      <c r="F42" s="117" t="s">
        <v>374</v>
      </c>
      <c r="G42" s="117" t="s">
        <v>374</v>
      </c>
      <c r="H42" s="117" t="s">
        <v>374</v>
      </c>
      <c r="I42" s="24">
        <f>'c-20'!F53</f>
        <v>556</v>
      </c>
      <c r="J42" s="117" t="s">
        <v>374</v>
      </c>
      <c r="K42" s="117" t="s">
        <v>374</v>
      </c>
      <c r="L42" s="117" t="s">
        <v>374</v>
      </c>
      <c r="M42" s="117" t="s">
        <v>374</v>
      </c>
      <c r="N42" s="118" t="s">
        <v>374</v>
      </c>
      <c r="O42" s="65" t="s">
        <v>374</v>
      </c>
      <c r="P42" s="65" t="s">
        <v>374</v>
      </c>
    </row>
    <row r="43" spans="1:23" ht="15.75" customHeight="1">
      <c r="A43" s="116" t="s">
        <v>578</v>
      </c>
      <c r="B43" s="26">
        <f t="shared" si="0"/>
        <v>433</v>
      </c>
      <c r="C43" s="117" t="s">
        <v>374</v>
      </c>
      <c r="D43" s="117" t="s">
        <v>374</v>
      </c>
      <c r="E43" s="117" t="s">
        <v>374</v>
      </c>
      <c r="F43" s="117" t="s">
        <v>374</v>
      </c>
      <c r="G43" s="117" t="s">
        <v>374</v>
      </c>
      <c r="H43" s="117" t="s">
        <v>374</v>
      </c>
      <c r="I43" s="24">
        <f>'c-20'!F54</f>
        <v>433</v>
      </c>
      <c r="J43" s="117" t="s">
        <v>374</v>
      </c>
      <c r="K43" s="117" t="s">
        <v>374</v>
      </c>
      <c r="L43" s="117" t="s">
        <v>374</v>
      </c>
      <c r="M43" s="117" t="s">
        <v>374</v>
      </c>
      <c r="N43" s="118" t="s">
        <v>374</v>
      </c>
      <c r="O43" s="65" t="s">
        <v>374</v>
      </c>
      <c r="P43" s="65" t="s">
        <v>374</v>
      </c>
    </row>
    <row r="44" spans="1:23" ht="15.75" customHeight="1">
      <c r="A44" s="119" t="s">
        <v>579</v>
      </c>
      <c r="B44" s="26">
        <f t="shared" si="0"/>
        <v>537</v>
      </c>
      <c r="C44" s="117" t="s">
        <v>374</v>
      </c>
      <c r="D44" s="117" t="s">
        <v>374</v>
      </c>
      <c r="E44" s="117" t="s">
        <v>374</v>
      </c>
      <c r="F44" s="117" t="s">
        <v>374</v>
      </c>
      <c r="G44" s="117" t="s">
        <v>374</v>
      </c>
      <c r="H44" s="117" t="s">
        <v>374</v>
      </c>
      <c r="I44" s="24">
        <f>'c-20'!F57</f>
        <v>537</v>
      </c>
      <c r="J44" s="117" t="s">
        <v>374</v>
      </c>
      <c r="K44" s="117" t="s">
        <v>374</v>
      </c>
      <c r="L44" s="117" t="s">
        <v>374</v>
      </c>
      <c r="M44" s="117" t="s">
        <v>374</v>
      </c>
      <c r="N44" s="118" t="s">
        <v>374</v>
      </c>
      <c r="O44" s="65" t="s">
        <v>374</v>
      </c>
      <c r="P44" s="65" t="s">
        <v>374</v>
      </c>
    </row>
    <row r="45" spans="1:23" ht="15.75" customHeight="1">
      <c r="A45" s="119" t="s">
        <v>880</v>
      </c>
      <c r="B45" s="26">
        <f t="shared" si="0"/>
        <v>569</v>
      </c>
      <c r="C45" s="117" t="s">
        <v>374</v>
      </c>
      <c r="D45" s="117" t="s">
        <v>374</v>
      </c>
      <c r="E45" s="117" t="s">
        <v>374</v>
      </c>
      <c r="F45" s="117" t="s">
        <v>374</v>
      </c>
      <c r="G45" s="117" t="s">
        <v>374</v>
      </c>
      <c r="H45" s="117" t="s">
        <v>374</v>
      </c>
      <c r="I45" s="24">
        <f>'c-20'!F58</f>
        <v>569</v>
      </c>
      <c r="J45" s="117" t="s">
        <v>374</v>
      </c>
      <c r="K45" s="117" t="s">
        <v>374</v>
      </c>
      <c r="L45" s="117" t="s">
        <v>374</v>
      </c>
      <c r="M45" s="117" t="s">
        <v>374</v>
      </c>
      <c r="N45" s="118" t="s">
        <v>374</v>
      </c>
      <c r="O45" s="65" t="s">
        <v>374</v>
      </c>
      <c r="P45" s="65" t="s">
        <v>374</v>
      </c>
    </row>
    <row r="46" spans="1:23" ht="15.75" customHeight="1">
      <c r="A46" s="119" t="s">
        <v>580</v>
      </c>
      <c r="B46" s="26">
        <f t="shared" si="0"/>
        <v>199</v>
      </c>
      <c r="C46" s="117" t="s">
        <v>374</v>
      </c>
      <c r="D46" s="117" t="s">
        <v>374</v>
      </c>
      <c r="E46" s="117" t="s">
        <v>374</v>
      </c>
      <c r="F46" s="117" t="s">
        <v>374</v>
      </c>
      <c r="G46" s="117" t="s">
        <v>374</v>
      </c>
      <c r="H46" s="117" t="s">
        <v>374</v>
      </c>
      <c r="I46" s="24">
        <f>'c-20'!F59</f>
        <v>199</v>
      </c>
      <c r="J46" s="117" t="s">
        <v>374</v>
      </c>
      <c r="K46" s="117" t="s">
        <v>374</v>
      </c>
      <c r="L46" s="117" t="s">
        <v>374</v>
      </c>
      <c r="M46" s="117" t="s">
        <v>374</v>
      </c>
      <c r="N46" s="118" t="s">
        <v>374</v>
      </c>
      <c r="O46" s="65" t="s">
        <v>374</v>
      </c>
      <c r="P46" s="65" t="s">
        <v>374</v>
      </c>
    </row>
    <row r="47" spans="1:23" ht="15.75" customHeight="1">
      <c r="A47" s="119" t="s">
        <v>581</v>
      </c>
      <c r="B47" s="26">
        <f t="shared" si="0"/>
        <v>182</v>
      </c>
      <c r="C47" s="117" t="s">
        <v>374</v>
      </c>
      <c r="D47" s="117" t="s">
        <v>374</v>
      </c>
      <c r="E47" s="117" t="s">
        <v>374</v>
      </c>
      <c r="F47" s="117" t="s">
        <v>374</v>
      </c>
      <c r="G47" s="117" t="s">
        <v>374</v>
      </c>
      <c r="H47" s="117" t="s">
        <v>374</v>
      </c>
      <c r="I47" s="24">
        <f>'c-20'!F66</f>
        <v>182</v>
      </c>
      <c r="J47" s="117" t="s">
        <v>374</v>
      </c>
      <c r="K47" s="117" t="s">
        <v>374</v>
      </c>
      <c r="L47" s="117" t="s">
        <v>374</v>
      </c>
      <c r="M47" s="117" t="s">
        <v>374</v>
      </c>
      <c r="N47" s="118" t="s">
        <v>374</v>
      </c>
      <c r="O47" s="65" t="s">
        <v>374</v>
      </c>
      <c r="P47" s="65" t="s">
        <v>374</v>
      </c>
    </row>
    <row r="48" spans="1:23" ht="15.75" customHeight="1">
      <c r="A48" s="119" t="s">
        <v>582</v>
      </c>
      <c r="B48" s="26">
        <f t="shared" si="0"/>
        <v>208</v>
      </c>
      <c r="C48" s="117" t="s">
        <v>374</v>
      </c>
      <c r="D48" s="117" t="s">
        <v>374</v>
      </c>
      <c r="E48" s="117" t="s">
        <v>374</v>
      </c>
      <c r="F48" s="117" t="s">
        <v>374</v>
      </c>
      <c r="G48" s="117" t="s">
        <v>374</v>
      </c>
      <c r="H48" s="117" t="s">
        <v>374</v>
      </c>
      <c r="I48" s="24">
        <f>'c-20'!F67</f>
        <v>208</v>
      </c>
      <c r="J48" s="64" t="s">
        <v>374</v>
      </c>
      <c r="K48" s="117" t="s">
        <v>374</v>
      </c>
      <c r="L48" s="117" t="s">
        <v>374</v>
      </c>
      <c r="M48" s="117" t="s">
        <v>374</v>
      </c>
      <c r="N48" s="118" t="s">
        <v>374</v>
      </c>
      <c r="O48" s="65" t="s">
        <v>374</v>
      </c>
      <c r="P48" s="65" t="s">
        <v>374</v>
      </c>
    </row>
    <row r="49" spans="1:23" ht="15.75" customHeight="1">
      <c r="A49" s="119" t="s">
        <v>583</v>
      </c>
      <c r="B49" s="26">
        <f t="shared" si="0"/>
        <v>299</v>
      </c>
      <c r="C49" s="117" t="s">
        <v>374</v>
      </c>
      <c r="D49" s="117" t="s">
        <v>374</v>
      </c>
      <c r="E49" s="117" t="s">
        <v>374</v>
      </c>
      <c r="F49" s="117" t="s">
        <v>374</v>
      </c>
      <c r="G49" s="117" t="s">
        <v>374</v>
      </c>
      <c r="H49" s="117" t="s">
        <v>374</v>
      </c>
      <c r="I49" s="24">
        <f>'c-20'!F68</f>
        <v>299</v>
      </c>
      <c r="J49" s="64" t="s">
        <v>374</v>
      </c>
      <c r="K49" s="117" t="s">
        <v>374</v>
      </c>
      <c r="L49" s="117" t="s">
        <v>374</v>
      </c>
      <c r="M49" s="117" t="s">
        <v>374</v>
      </c>
      <c r="N49" s="118" t="s">
        <v>374</v>
      </c>
      <c r="O49" s="65" t="s">
        <v>374</v>
      </c>
      <c r="P49" s="65" t="s">
        <v>374</v>
      </c>
    </row>
    <row r="50" spans="1:23" ht="15.75" customHeight="1">
      <c r="A50" s="119" t="s">
        <v>584</v>
      </c>
      <c r="B50" s="26">
        <f t="shared" si="0"/>
        <v>164</v>
      </c>
      <c r="C50" s="117" t="s">
        <v>374</v>
      </c>
      <c r="D50" s="117" t="s">
        <v>374</v>
      </c>
      <c r="E50" s="117" t="s">
        <v>374</v>
      </c>
      <c r="F50" s="117" t="s">
        <v>374</v>
      </c>
      <c r="G50" s="117" t="s">
        <v>374</v>
      </c>
      <c r="H50" s="117" t="s">
        <v>374</v>
      </c>
      <c r="I50" s="24">
        <f>'c-20'!F69</f>
        <v>164</v>
      </c>
      <c r="J50" s="117" t="s">
        <v>374</v>
      </c>
      <c r="K50" s="117" t="s">
        <v>374</v>
      </c>
      <c r="L50" s="117" t="s">
        <v>374</v>
      </c>
      <c r="M50" s="117" t="s">
        <v>374</v>
      </c>
      <c r="N50" s="118" t="s">
        <v>374</v>
      </c>
      <c r="O50" s="65" t="s">
        <v>374</v>
      </c>
      <c r="P50" s="65" t="s">
        <v>374</v>
      </c>
    </row>
    <row r="51" spans="1:23" ht="15.75" customHeight="1">
      <c r="A51" s="116" t="s">
        <v>881</v>
      </c>
      <c r="B51" s="26">
        <f t="shared" si="0"/>
        <v>752</v>
      </c>
      <c r="C51" s="117" t="s">
        <v>374</v>
      </c>
      <c r="D51" s="117" t="s">
        <v>374</v>
      </c>
      <c r="E51" s="117" t="s">
        <v>374</v>
      </c>
      <c r="F51" s="117" t="s">
        <v>374</v>
      </c>
      <c r="G51" s="117" t="s">
        <v>374</v>
      </c>
      <c r="H51" s="118" t="s">
        <v>374</v>
      </c>
      <c r="I51" s="24">
        <f>'c-20'!F72</f>
        <v>752</v>
      </c>
      <c r="J51" s="64" t="s">
        <v>374</v>
      </c>
      <c r="K51" s="117" t="s">
        <v>374</v>
      </c>
      <c r="L51" s="117" t="s">
        <v>374</v>
      </c>
      <c r="M51" s="117" t="s">
        <v>374</v>
      </c>
      <c r="N51" s="118" t="s">
        <v>374</v>
      </c>
      <c r="O51" s="65" t="s">
        <v>374</v>
      </c>
      <c r="P51" s="65" t="s">
        <v>374</v>
      </c>
    </row>
    <row r="52" spans="1:23" ht="15.75" customHeight="1">
      <c r="A52" s="116" t="s">
        <v>882</v>
      </c>
      <c r="B52" s="26">
        <f t="shared" si="0"/>
        <v>339</v>
      </c>
      <c r="C52" s="117" t="s">
        <v>374</v>
      </c>
      <c r="D52" s="117" t="s">
        <v>374</v>
      </c>
      <c r="E52" s="117" t="s">
        <v>374</v>
      </c>
      <c r="F52" s="117" t="s">
        <v>374</v>
      </c>
      <c r="G52" s="117" t="s">
        <v>374</v>
      </c>
      <c r="H52" s="64" t="s">
        <v>374</v>
      </c>
      <c r="I52" s="24">
        <f>'c-20'!F73</f>
        <v>339</v>
      </c>
      <c r="J52" s="64" t="s">
        <v>374</v>
      </c>
      <c r="K52" s="117" t="s">
        <v>374</v>
      </c>
      <c r="L52" s="117" t="s">
        <v>374</v>
      </c>
      <c r="M52" s="117" t="s">
        <v>374</v>
      </c>
      <c r="N52" s="118" t="s">
        <v>374</v>
      </c>
      <c r="O52" s="65" t="s">
        <v>374</v>
      </c>
      <c r="P52" s="65" t="s">
        <v>374</v>
      </c>
    </row>
    <row r="53" spans="1:23" ht="15.75" customHeight="1">
      <c r="A53" s="116" t="s">
        <v>883</v>
      </c>
      <c r="B53" s="26">
        <f t="shared" si="0"/>
        <v>520</v>
      </c>
      <c r="C53" s="117" t="s">
        <v>374</v>
      </c>
      <c r="D53" s="117" t="s">
        <v>374</v>
      </c>
      <c r="E53" s="117" t="s">
        <v>374</v>
      </c>
      <c r="F53" s="117" t="s">
        <v>374</v>
      </c>
      <c r="G53" s="117" t="s">
        <v>374</v>
      </c>
      <c r="H53" s="64" t="s">
        <v>374</v>
      </c>
      <c r="I53" s="121">
        <f>'c-20'!F76</f>
        <v>520</v>
      </c>
      <c r="J53" s="64" t="s">
        <v>374</v>
      </c>
      <c r="K53" s="117" t="s">
        <v>374</v>
      </c>
      <c r="L53" s="117" t="s">
        <v>374</v>
      </c>
      <c r="M53" s="117" t="s">
        <v>374</v>
      </c>
      <c r="N53" s="118" t="s">
        <v>374</v>
      </c>
      <c r="O53" s="65" t="s">
        <v>374</v>
      </c>
      <c r="P53" s="65" t="s">
        <v>374</v>
      </c>
    </row>
    <row r="54" spans="1:23" ht="15.75" customHeight="1">
      <c r="A54" s="116" t="s">
        <v>585</v>
      </c>
      <c r="B54" s="26">
        <f t="shared" si="0"/>
        <v>735</v>
      </c>
      <c r="C54" s="117" t="s">
        <v>374</v>
      </c>
      <c r="D54" s="117" t="s">
        <v>374</v>
      </c>
      <c r="E54" s="117" t="s">
        <v>374</v>
      </c>
      <c r="F54" s="117" t="s">
        <v>374</v>
      </c>
      <c r="G54" s="117" t="s">
        <v>374</v>
      </c>
      <c r="H54" s="64" t="s">
        <v>374</v>
      </c>
      <c r="I54" s="121">
        <f>'c-20'!F77</f>
        <v>735</v>
      </c>
      <c r="J54" s="64" t="s">
        <v>374</v>
      </c>
      <c r="K54" s="117" t="s">
        <v>374</v>
      </c>
      <c r="L54" s="117" t="s">
        <v>374</v>
      </c>
      <c r="M54" s="117" t="s">
        <v>374</v>
      </c>
      <c r="N54" s="118" t="s">
        <v>374</v>
      </c>
      <c r="O54" s="65" t="s">
        <v>374</v>
      </c>
      <c r="P54" s="65" t="s">
        <v>374</v>
      </c>
    </row>
    <row r="55" spans="1:23" ht="15.75" customHeight="1">
      <c r="A55" s="116" t="s">
        <v>884</v>
      </c>
      <c r="B55" s="26">
        <f t="shared" si="0"/>
        <v>177</v>
      </c>
      <c r="C55" s="117" t="s">
        <v>374</v>
      </c>
      <c r="D55" s="117" t="s">
        <v>374</v>
      </c>
      <c r="E55" s="117" t="s">
        <v>374</v>
      </c>
      <c r="F55" s="117" t="s">
        <v>374</v>
      </c>
      <c r="G55" s="117" t="s">
        <v>374</v>
      </c>
      <c r="H55" s="64" t="s">
        <v>374</v>
      </c>
      <c r="I55" s="121">
        <f>'c-20'!F78</f>
        <v>177</v>
      </c>
      <c r="J55" s="64" t="s">
        <v>374</v>
      </c>
      <c r="K55" s="117" t="s">
        <v>374</v>
      </c>
      <c r="L55" s="117" t="s">
        <v>374</v>
      </c>
      <c r="M55" s="117" t="s">
        <v>374</v>
      </c>
      <c r="N55" s="118" t="s">
        <v>374</v>
      </c>
      <c r="O55" s="65" t="s">
        <v>374</v>
      </c>
      <c r="P55" s="65" t="s">
        <v>374</v>
      </c>
      <c r="V55" s="91"/>
      <c r="W55" s="91"/>
    </row>
    <row r="56" spans="1:23" ht="15.75" customHeight="1">
      <c r="A56" s="113"/>
      <c r="B56" s="26"/>
      <c r="C56" s="51"/>
      <c r="D56" s="51"/>
      <c r="E56" s="51"/>
      <c r="F56" s="51"/>
      <c r="G56" s="51"/>
      <c r="H56" s="26"/>
      <c r="I56" s="51"/>
      <c r="J56" s="117"/>
      <c r="K56" s="117"/>
      <c r="L56" s="117"/>
      <c r="M56" s="117"/>
      <c r="N56" s="118"/>
      <c r="O56" s="19"/>
      <c r="P56" s="19"/>
    </row>
    <row r="57" spans="1:23" s="91" customFormat="1" ht="15.75" customHeight="1">
      <c r="A57" s="106" t="s">
        <v>586</v>
      </c>
      <c r="B57" s="107"/>
      <c r="C57" s="114"/>
      <c r="D57" s="114"/>
      <c r="E57" s="114"/>
      <c r="F57" s="114"/>
      <c r="G57" s="114"/>
      <c r="H57" s="107"/>
      <c r="I57" s="114"/>
      <c r="J57" s="114"/>
      <c r="K57" s="114"/>
      <c r="L57" s="117"/>
      <c r="M57" s="114"/>
      <c r="N57" s="115"/>
      <c r="O57" s="19"/>
      <c r="P57" s="19"/>
      <c r="V57" s="35"/>
      <c r="W57" s="35"/>
    </row>
    <row r="58" spans="1:23" s="91" customFormat="1" ht="15.75" customHeight="1">
      <c r="A58" s="106"/>
      <c r="B58" s="107"/>
      <c r="C58" s="114"/>
      <c r="D58" s="114"/>
      <c r="E58" s="114"/>
      <c r="F58" s="114"/>
      <c r="G58" s="114"/>
      <c r="H58" s="107"/>
      <c r="I58" s="114"/>
      <c r="J58" s="114"/>
      <c r="K58" s="114"/>
      <c r="L58" s="117"/>
      <c r="M58" s="114"/>
      <c r="N58" s="115"/>
      <c r="O58" s="19"/>
      <c r="P58" s="19"/>
      <c r="V58" s="35"/>
      <c r="W58" s="35"/>
    </row>
    <row r="59" spans="1:23" s="91" customFormat="1" ht="15.75" customHeight="1">
      <c r="A59" s="106" t="s">
        <v>587</v>
      </c>
      <c r="B59" s="97">
        <f>SUM(B61:B72)</f>
        <v>5554</v>
      </c>
      <c r="C59" s="97">
        <f>SUM(C61:C72)</f>
        <v>5378</v>
      </c>
      <c r="D59" s="97" t="s">
        <v>374</v>
      </c>
      <c r="E59" s="97" t="s">
        <v>374</v>
      </c>
      <c r="F59" s="97" t="s">
        <v>374</v>
      </c>
      <c r="G59" s="97">
        <f>SUM(G61:G72)</f>
        <v>176</v>
      </c>
      <c r="H59" s="62" t="s">
        <v>374</v>
      </c>
      <c r="I59" s="97" t="s">
        <v>374</v>
      </c>
      <c r="J59" s="97" t="s">
        <v>374</v>
      </c>
      <c r="K59" s="97" t="s">
        <v>374</v>
      </c>
      <c r="L59" s="97" t="s">
        <v>374</v>
      </c>
      <c r="M59" s="97" t="s">
        <v>374</v>
      </c>
      <c r="N59" s="98" t="s">
        <v>374</v>
      </c>
      <c r="O59" s="112" t="s">
        <v>374</v>
      </c>
      <c r="P59" s="112" t="s">
        <v>374</v>
      </c>
      <c r="V59" s="35"/>
      <c r="W59" s="35"/>
    </row>
    <row r="60" spans="1:23" ht="15.75" customHeight="1">
      <c r="A60" s="120"/>
      <c r="B60" s="64"/>
      <c r="C60" s="117"/>
      <c r="D60" s="118"/>
      <c r="E60" s="26"/>
      <c r="F60" s="51"/>
      <c r="G60" s="51"/>
      <c r="H60" s="51"/>
      <c r="I60" s="51"/>
      <c r="J60" s="51"/>
      <c r="K60" s="51"/>
      <c r="L60" s="117"/>
      <c r="M60" s="51"/>
      <c r="N60" s="118"/>
      <c r="O60" s="65"/>
      <c r="P60" s="65"/>
    </row>
    <row r="61" spans="1:23" ht="15.75" customHeight="1">
      <c r="A61" s="120" t="s">
        <v>465</v>
      </c>
      <c r="B61" s="26">
        <f t="shared" ref="B61:B72" si="1">SUM(C61:P61)</f>
        <v>448</v>
      </c>
      <c r="C61" s="117">
        <f>'c-10'!E12</f>
        <v>448</v>
      </c>
      <c r="D61" s="141" t="s">
        <v>374</v>
      </c>
      <c r="E61" s="64" t="s">
        <v>374</v>
      </c>
      <c r="F61" s="117" t="s">
        <v>374</v>
      </c>
      <c r="G61" s="117" t="s">
        <v>374</v>
      </c>
      <c r="H61" s="117" t="s">
        <v>374</v>
      </c>
      <c r="I61" s="117" t="s">
        <v>374</v>
      </c>
      <c r="J61" s="117" t="s">
        <v>374</v>
      </c>
      <c r="K61" s="117" t="s">
        <v>374</v>
      </c>
      <c r="L61" s="117" t="s">
        <v>374</v>
      </c>
      <c r="M61" s="117" t="s">
        <v>374</v>
      </c>
      <c r="N61" s="118" t="s">
        <v>374</v>
      </c>
      <c r="O61" s="65" t="s">
        <v>374</v>
      </c>
      <c r="P61" s="65" t="s">
        <v>374</v>
      </c>
    </row>
    <row r="62" spans="1:23" ht="15.75" customHeight="1">
      <c r="A62" s="120" t="s">
        <v>445</v>
      </c>
      <c r="B62" s="26">
        <f t="shared" si="1"/>
        <v>210</v>
      </c>
      <c r="C62" s="117">
        <f>'c-10'!E13</f>
        <v>210</v>
      </c>
      <c r="D62" s="141" t="s">
        <v>374</v>
      </c>
      <c r="E62" s="64" t="s">
        <v>374</v>
      </c>
      <c r="F62" s="117" t="s">
        <v>374</v>
      </c>
      <c r="G62" s="117" t="s">
        <v>374</v>
      </c>
      <c r="H62" s="117" t="s">
        <v>374</v>
      </c>
      <c r="I62" s="117" t="s">
        <v>374</v>
      </c>
      <c r="J62" s="117" t="s">
        <v>374</v>
      </c>
      <c r="K62" s="117" t="s">
        <v>374</v>
      </c>
      <c r="L62" s="117" t="s">
        <v>374</v>
      </c>
      <c r="M62" s="117" t="s">
        <v>374</v>
      </c>
      <c r="N62" s="118" t="s">
        <v>374</v>
      </c>
      <c r="O62" s="65" t="s">
        <v>374</v>
      </c>
      <c r="P62" s="65" t="s">
        <v>374</v>
      </c>
    </row>
    <row r="63" spans="1:23" ht="15.75" customHeight="1">
      <c r="A63" s="120" t="s">
        <v>446</v>
      </c>
      <c r="B63" s="26">
        <f t="shared" si="1"/>
        <v>413</v>
      </c>
      <c r="C63" s="117">
        <f>'c-10'!E14</f>
        <v>413</v>
      </c>
      <c r="D63" s="141" t="s">
        <v>374</v>
      </c>
      <c r="E63" s="64" t="s">
        <v>374</v>
      </c>
      <c r="F63" s="117" t="s">
        <v>374</v>
      </c>
      <c r="G63" s="117" t="s">
        <v>374</v>
      </c>
      <c r="H63" s="117" t="s">
        <v>374</v>
      </c>
      <c r="I63" s="117" t="s">
        <v>374</v>
      </c>
      <c r="J63" s="117" t="s">
        <v>374</v>
      </c>
      <c r="K63" s="117" t="s">
        <v>374</v>
      </c>
      <c r="L63" s="117" t="s">
        <v>374</v>
      </c>
      <c r="M63" s="117" t="s">
        <v>374</v>
      </c>
      <c r="N63" s="118" t="s">
        <v>374</v>
      </c>
      <c r="O63" s="65" t="s">
        <v>374</v>
      </c>
      <c r="P63" s="65" t="s">
        <v>374</v>
      </c>
    </row>
    <row r="64" spans="1:23" ht="15.75" customHeight="1">
      <c r="A64" s="120" t="s">
        <v>447</v>
      </c>
      <c r="B64" s="26">
        <f t="shared" si="1"/>
        <v>412</v>
      </c>
      <c r="C64" s="117">
        <f>'c-10'!E15</f>
        <v>412</v>
      </c>
      <c r="D64" s="141" t="s">
        <v>374</v>
      </c>
      <c r="E64" s="64" t="s">
        <v>374</v>
      </c>
      <c r="F64" s="117" t="s">
        <v>374</v>
      </c>
      <c r="G64" s="117" t="s">
        <v>374</v>
      </c>
      <c r="H64" s="117" t="s">
        <v>374</v>
      </c>
      <c r="I64" s="117" t="s">
        <v>374</v>
      </c>
      <c r="J64" s="117" t="s">
        <v>374</v>
      </c>
      <c r="K64" s="117" t="s">
        <v>374</v>
      </c>
      <c r="L64" s="117" t="s">
        <v>374</v>
      </c>
      <c r="M64" s="117" t="s">
        <v>374</v>
      </c>
      <c r="N64" s="118" t="s">
        <v>374</v>
      </c>
      <c r="O64" s="65" t="s">
        <v>374</v>
      </c>
      <c r="P64" s="65" t="s">
        <v>374</v>
      </c>
    </row>
    <row r="65" spans="1:23" ht="15.75" customHeight="1">
      <c r="A65" s="120" t="s">
        <v>448</v>
      </c>
      <c r="B65" s="26">
        <f t="shared" si="1"/>
        <v>571</v>
      </c>
      <c r="C65" s="24">
        <f>'c-10'!E28</f>
        <v>571</v>
      </c>
      <c r="D65" s="141" t="s">
        <v>374</v>
      </c>
      <c r="E65" s="64" t="s">
        <v>374</v>
      </c>
      <c r="F65" s="117" t="s">
        <v>374</v>
      </c>
      <c r="G65" s="24" t="s">
        <v>374</v>
      </c>
      <c r="H65" s="117" t="s">
        <v>374</v>
      </c>
      <c r="I65" s="117" t="s">
        <v>374</v>
      </c>
      <c r="J65" s="117" t="s">
        <v>374</v>
      </c>
      <c r="K65" s="117" t="s">
        <v>374</v>
      </c>
      <c r="L65" s="117" t="s">
        <v>374</v>
      </c>
      <c r="M65" s="117" t="s">
        <v>374</v>
      </c>
      <c r="N65" s="118" t="s">
        <v>374</v>
      </c>
      <c r="O65" s="65" t="s">
        <v>374</v>
      </c>
      <c r="P65" s="65" t="s">
        <v>374</v>
      </c>
    </row>
    <row r="66" spans="1:23" ht="15.75" customHeight="1">
      <c r="A66" s="120" t="s">
        <v>449</v>
      </c>
      <c r="B66" s="26">
        <f t="shared" si="1"/>
        <v>60</v>
      </c>
      <c r="C66" s="24">
        <f>'c-10'!E17</f>
        <v>60</v>
      </c>
      <c r="D66" s="141" t="s">
        <v>374</v>
      </c>
      <c r="E66" s="64" t="s">
        <v>374</v>
      </c>
      <c r="F66" s="117" t="s">
        <v>374</v>
      </c>
      <c r="G66" s="117" t="s">
        <v>374</v>
      </c>
      <c r="H66" s="117" t="s">
        <v>374</v>
      </c>
      <c r="I66" s="117" t="s">
        <v>374</v>
      </c>
      <c r="J66" s="117" t="s">
        <v>374</v>
      </c>
      <c r="K66" s="117" t="s">
        <v>374</v>
      </c>
      <c r="L66" s="117" t="s">
        <v>374</v>
      </c>
      <c r="M66" s="117" t="s">
        <v>374</v>
      </c>
      <c r="N66" s="118" t="s">
        <v>374</v>
      </c>
      <c r="O66" s="65" t="s">
        <v>374</v>
      </c>
      <c r="P66" s="65" t="s">
        <v>374</v>
      </c>
    </row>
    <row r="67" spans="1:23" ht="15.75" customHeight="1">
      <c r="A67" s="120" t="s">
        <v>450</v>
      </c>
      <c r="B67" s="26">
        <f t="shared" si="1"/>
        <v>418</v>
      </c>
      <c r="C67" s="24">
        <f>'c-10'!E42</f>
        <v>418</v>
      </c>
      <c r="D67" s="141" t="s">
        <v>374</v>
      </c>
      <c r="E67" s="64" t="s">
        <v>374</v>
      </c>
      <c r="F67" s="117" t="s">
        <v>374</v>
      </c>
      <c r="G67" s="117" t="s">
        <v>374</v>
      </c>
      <c r="H67" s="117" t="s">
        <v>374</v>
      </c>
      <c r="I67" s="117" t="s">
        <v>374</v>
      </c>
      <c r="J67" s="117" t="s">
        <v>374</v>
      </c>
      <c r="K67" s="117" t="s">
        <v>374</v>
      </c>
      <c r="L67" s="117" t="s">
        <v>374</v>
      </c>
      <c r="M67" s="117" t="s">
        <v>374</v>
      </c>
      <c r="N67" s="118" t="s">
        <v>374</v>
      </c>
      <c r="O67" s="65" t="s">
        <v>374</v>
      </c>
      <c r="P67" s="65" t="s">
        <v>374</v>
      </c>
    </row>
    <row r="68" spans="1:23" ht="15.75" customHeight="1">
      <c r="A68" s="120" t="s">
        <v>451</v>
      </c>
      <c r="B68" s="26">
        <f t="shared" si="1"/>
        <v>1450</v>
      </c>
      <c r="C68" s="24">
        <f>'c-10'!E69</f>
        <v>1450</v>
      </c>
      <c r="D68" s="141" t="s">
        <v>374</v>
      </c>
      <c r="E68" s="64" t="s">
        <v>374</v>
      </c>
      <c r="F68" s="117" t="s">
        <v>374</v>
      </c>
      <c r="G68" s="24" t="s">
        <v>374</v>
      </c>
      <c r="H68" s="117" t="s">
        <v>374</v>
      </c>
      <c r="I68" s="117" t="s">
        <v>374</v>
      </c>
      <c r="J68" s="117" t="s">
        <v>374</v>
      </c>
      <c r="K68" s="117" t="s">
        <v>374</v>
      </c>
      <c r="L68" s="117" t="s">
        <v>374</v>
      </c>
      <c r="M68" s="117" t="s">
        <v>374</v>
      </c>
      <c r="N68" s="118" t="s">
        <v>374</v>
      </c>
      <c r="O68" s="65" t="s">
        <v>374</v>
      </c>
      <c r="P68" s="65" t="s">
        <v>374</v>
      </c>
    </row>
    <row r="69" spans="1:23" ht="15.75" customHeight="1">
      <c r="A69" s="120" t="s">
        <v>452</v>
      </c>
      <c r="B69" s="26">
        <f t="shared" si="1"/>
        <v>594</v>
      </c>
      <c r="C69" s="24">
        <f>'c-10'!E80</f>
        <v>594</v>
      </c>
      <c r="D69" s="141" t="s">
        <v>374</v>
      </c>
      <c r="E69" s="64" t="s">
        <v>374</v>
      </c>
      <c r="F69" s="117" t="s">
        <v>374</v>
      </c>
      <c r="G69" s="64" t="s">
        <v>374</v>
      </c>
      <c r="H69" s="117" t="s">
        <v>374</v>
      </c>
      <c r="I69" s="117" t="s">
        <v>374</v>
      </c>
      <c r="J69" s="117" t="s">
        <v>374</v>
      </c>
      <c r="K69" s="117" t="s">
        <v>374</v>
      </c>
      <c r="L69" s="117" t="s">
        <v>374</v>
      </c>
      <c r="M69" s="117" t="s">
        <v>374</v>
      </c>
      <c r="N69" s="118" t="s">
        <v>374</v>
      </c>
      <c r="O69" s="65" t="s">
        <v>374</v>
      </c>
      <c r="P69" s="65" t="s">
        <v>374</v>
      </c>
    </row>
    <row r="70" spans="1:23" ht="15.75" customHeight="1">
      <c r="A70" s="120" t="s">
        <v>453</v>
      </c>
      <c r="B70" s="26">
        <f t="shared" si="1"/>
        <v>547</v>
      </c>
      <c r="C70" s="24">
        <f>'c-10'!E109</f>
        <v>371</v>
      </c>
      <c r="D70" s="141" t="s">
        <v>374</v>
      </c>
      <c r="E70" s="64" t="s">
        <v>374</v>
      </c>
      <c r="F70" s="117" t="s">
        <v>374</v>
      </c>
      <c r="G70" s="24">
        <f>'c-12'!F35</f>
        <v>176</v>
      </c>
      <c r="H70" s="117" t="s">
        <v>374</v>
      </c>
      <c r="I70" s="117" t="s">
        <v>374</v>
      </c>
      <c r="J70" s="117" t="s">
        <v>374</v>
      </c>
      <c r="K70" s="117" t="s">
        <v>374</v>
      </c>
      <c r="L70" s="117" t="s">
        <v>374</v>
      </c>
      <c r="M70" s="117" t="s">
        <v>374</v>
      </c>
      <c r="N70" s="118" t="s">
        <v>374</v>
      </c>
      <c r="O70" s="65" t="s">
        <v>374</v>
      </c>
      <c r="P70" s="65" t="s">
        <v>374</v>
      </c>
    </row>
    <row r="71" spans="1:23" ht="15.75" customHeight="1">
      <c r="A71" s="120" t="s">
        <v>454</v>
      </c>
      <c r="B71" s="26">
        <f t="shared" si="1"/>
        <v>210</v>
      </c>
      <c r="C71" s="24">
        <f>'c-10'!E137</f>
        <v>210</v>
      </c>
      <c r="D71" s="141" t="s">
        <v>374</v>
      </c>
      <c r="E71" s="64" t="s">
        <v>374</v>
      </c>
      <c r="F71" s="117" t="s">
        <v>374</v>
      </c>
      <c r="G71" s="117" t="s">
        <v>374</v>
      </c>
      <c r="H71" s="117" t="s">
        <v>374</v>
      </c>
      <c r="I71" s="117" t="s">
        <v>374</v>
      </c>
      <c r="J71" s="117" t="s">
        <v>374</v>
      </c>
      <c r="K71" s="117" t="s">
        <v>374</v>
      </c>
      <c r="L71" s="117" t="s">
        <v>374</v>
      </c>
      <c r="M71" s="117" t="s">
        <v>374</v>
      </c>
      <c r="N71" s="118" t="s">
        <v>374</v>
      </c>
      <c r="O71" s="65" t="s">
        <v>374</v>
      </c>
      <c r="P71" s="65" t="s">
        <v>374</v>
      </c>
    </row>
    <row r="72" spans="1:23" s="91" customFormat="1" ht="15.75" customHeight="1">
      <c r="A72" s="120" t="s">
        <v>455</v>
      </c>
      <c r="B72" s="26">
        <f t="shared" si="1"/>
        <v>221</v>
      </c>
      <c r="C72" s="24">
        <f>'c-10'!E143</f>
        <v>221</v>
      </c>
      <c r="D72" s="141" t="s">
        <v>374</v>
      </c>
      <c r="E72" s="64" t="s">
        <v>374</v>
      </c>
      <c r="F72" s="117" t="s">
        <v>374</v>
      </c>
      <c r="G72" s="117" t="s">
        <v>374</v>
      </c>
      <c r="H72" s="117" t="s">
        <v>374</v>
      </c>
      <c r="I72" s="117" t="s">
        <v>374</v>
      </c>
      <c r="J72" s="117" t="s">
        <v>374</v>
      </c>
      <c r="K72" s="117" t="s">
        <v>374</v>
      </c>
      <c r="L72" s="117" t="s">
        <v>374</v>
      </c>
      <c r="M72" s="117" t="s">
        <v>374</v>
      </c>
      <c r="N72" s="118" t="s">
        <v>374</v>
      </c>
      <c r="O72" s="65" t="s">
        <v>374</v>
      </c>
      <c r="P72" s="65" t="s">
        <v>374</v>
      </c>
      <c r="V72" s="35"/>
      <c r="W72" s="35"/>
    </row>
    <row r="73" spans="1:23" ht="15.75" customHeight="1">
      <c r="A73" s="113"/>
      <c r="B73" s="26"/>
      <c r="C73" s="26"/>
      <c r="D73" s="21"/>
      <c r="E73" s="26"/>
      <c r="F73" s="51"/>
      <c r="G73" s="51"/>
      <c r="H73" s="51"/>
      <c r="I73" s="51"/>
      <c r="J73" s="51"/>
      <c r="K73" s="51"/>
      <c r="L73" s="117"/>
      <c r="M73" s="51"/>
      <c r="N73" s="21"/>
      <c r="O73" s="65"/>
      <c r="P73" s="65"/>
    </row>
    <row r="74" spans="1:23" ht="15.75" customHeight="1">
      <c r="A74" s="106" t="s">
        <v>225</v>
      </c>
      <c r="B74" s="62">
        <f>SUM(B76:B79)</f>
        <v>36840</v>
      </c>
      <c r="C74" s="62" t="s">
        <v>374</v>
      </c>
      <c r="D74" s="63">
        <f>SUM(D76:D79)</f>
        <v>36840</v>
      </c>
      <c r="E74" s="64" t="s">
        <v>374</v>
      </c>
      <c r="F74" s="97" t="s">
        <v>374</v>
      </c>
      <c r="G74" s="97" t="s">
        <v>374</v>
      </c>
      <c r="H74" s="97" t="s">
        <v>374</v>
      </c>
      <c r="I74" s="97" t="s">
        <v>374</v>
      </c>
      <c r="J74" s="97" t="s">
        <v>374</v>
      </c>
      <c r="K74" s="97" t="s">
        <v>374</v>
      </c>
      <c r="L74" s="97" t="s">
        <v>374</v>
      </c>
      <c r="M74" s="97" t="s">
        <v>374</v>
      </c>
      <c r="N74" s="98" t="s">
        <v>374</v>
      </c>
      <c r="O74" s="112" t="s">
        <v>374</v>
      </c>
      <c r="P74" s="112" t="s">
        <v>374</v>
      </c>
    </row>
    <row r="75" spans="1:23" ht="15.75" customHeight="1">
      <c r="A75" s="113"/>
      <c r="B75" s="26"/>
      <c r="C75" s="26"/>
      <c r="D75" s="51"/>
      <c r="E75" s="51"/>
      <c r="F75" s="51"/>
      <c r="G75" s="51"/>
      <c r="H75" s="51"/>
      <c r="I75" s="51"/>
      <c r="J75" s="51"/>
      <c r="K75" s="51"/>
      <c r="L75" s="117"/>
      <c r="M75" s="51"/>
      <c r="N75" s="21"/>
      <c r="O75" s="65"/>
      <c r="P75" s="65"/>
    </row>
    <row r="76" spans="1:23" ht="15.75" customHeight="1">
      <c r="A76" s="120" t="s">
        <v>456</v>
      </c>
      <c r="B76" s="26">
        <f>SUM(C76:P76)</f>
        <v>6350</v>
      </c>
      <c r="C76" s="24" t="s">
        <v>374</v>
      </c>
      <c r="D76" s="121">
        <f>'c-11'!E12</f>
        <v>6350</v>
      </c>
      <c r="E76" s="117" t="s">
        <v>374</v>
      </c>
      <c r="F76" s="117" t="s">
        <v>374</v>
      </c>
      <c r="G76" s="117" t="s">
        <v>374</v>
      </c>
      <c r="H76" s="117" t="s">
        <v>374</v>
      </c>
      <c r="I76" s="117" t="s">
        <v>374</v>
      </c>
      <c r="J76" s="117" t="s">
        <v>374</v>
      </c>
      <c r="K76" s="117" t="s">
        <v>374</v>
      </c>
      <c r="L76" s="117" t="s">
        <v>374</v>
      </c>
      <c r="M76" s="117" t="s">
        <v>374</v>
      </c>
      <c r="N76" s="118" t="s">
        <v>374</v>
      </c>
      <c r="O76" s="65" t="s">
        <v>374</v>
      </c>
      <c r="P76" s="65" t="s">
        <v>374</v>
      </c>
    </row>
    <row r="77" spans="1:23" ht="15.75" customHeight="1">
      <c r="A77" s="120" t="s">
        <v>457</v>
      </c>
      <c r="B77" s="26">
        <f>SUM(C77:P77)</f>
        <v>4744</v>
      </c>
      <c r="C77" s="117" t="s">
        <v>374</v>
      </c>
      <c r="D77" s="121">
        <f>'c-11'!E13</f>
        <v>4744</v>
      </c>
      <c r="E77" s="117" t="s">
        <v>374</v>
      </c>
      <c r="F77" s="117" t="s">
        <v>374</v>
      </c>
      <c r="G77" s="117" t="s">
        <v>374</v>
      </c>
      <c r="H77" s="117" t="s">
        <v>374</v>
      </c>
      <c r="I77" s="117" t="s">
        <v>374</v>
      </c>
      <c r="J77" s="117" t="s">
        <v>374</v>
      </c>
      <c r="K77" s="117" t="s">
        <v>374</v>
      </c>
      <c r="L77" s="117" t="s">
        <v>374</v>
      </c>
      <c r="M77" s="117" t="s">
        <v>374</v>
      </c>
      <c r="N77" s="118" t="s">
        <v>374</v>
      </c>
      <c r="O77" s="65" t="s">
        <v>374</v>
      </c>
      <c r="P77" s="65" t="s">
        <v>374</v>
      </c>
    </row>
    <row r="78" spans="1:23" ht="15.75" customHeight="1">
      <c r="A78" s="120" t="s">
        <v>1016</v>
      </c>
      <c r="B78" s="26">
        <f>SUM(C78:P78)</f>
        <v>8169</v>
      </c>
      <c r="C78" s="117" t="s">
        <v>374</v>
      </c>
      <c r="D78" s="121">
        <f>'c-11'!E14</f>
        <v>8169</v>
      </c>
      <c r="E78" s="117" t="s">
        <v>374</v>
      </c>
      <c r="F78" s="117" t="s">
        <v>374</v>
      </c>
      <c r="G78" s="117" t="s">
        <v>374</v>
      </c>
      <c r="H78" s="117" t="s">
        <v>374</v>
      </c>
      <c r="I78" s="117" t="s">
        <v>374</v>
      </c>
      <c r="J78" s="117" t="s">
        <v>374</v>
      </c>
      <c r="K78" s="117" t="s">
        <v>374</v>
      </c>
      <c r="L78" s="117" t="s">
        <v>374</v>
      </c>
      <c r="M78" s="117" t="s">
        <v>374</v>
      </c>
      <c r="N78" s="118" t="s">
        <v>374</v>
      </c>
      <c r="O78" s="417" t="s">
        <v>374</v>
      </c>
      <c r="P78" s="21" t="s">
        <v>374</v>
      </c>
    </row>
    <row r="79" spans="1:23" ht="15.75" customHeight="1">
      <c r="A79" s="120" t="s">
        <v>458</v>
      </c>
      <c r="B79" s="26">
        <f>SUM(C79:P79)</f>
        <v>17577</v>
      </c>
      <c r="C79" s="117" t="s">
        <v>374</v>
      </c>
      <c r="D79" s="117">
        <f>'c-11'!E17</f>
        <v>17577</v>
      </c>
      <c r="E79" s="117" t="s">
        <v>374</v>
      </c>
      <c r="F79" s="117" t="s">
        <v>374</v>
      </c>
      <c r="G79" s="117" t="s">
        <v>374</v>
      </c>
      <c r="H79" s="117" t="s">
        <v>374</v>
      </c>
      <c r="I79" s="117" t="s">
        <v>374</v>
      </c>
      <c r="J79" s="117" t="s">
        <v>374</v>
      </c>
      <c r="K79" s="117" t="s">
        <v>374</v>
      </c>
      <c r="L79" s="117" t="s">
        <v>374</v>
      </c>
      <c r="M79" s="117" t="s">
        <v>374</v>
      </c>
      <c r="N79" s="117" t="s">
        <v>374</v>
      </c>
      <c r="O79" s="117" t="s">
        <v>374</v>
      </c>
      <c r="P79" s="118" t="s">
        <v>374</v>
      </c>
    </row>
    <row r="80" spans="1:23" ht="15.75" customHeight="1">
      <c r="A80" s="113"/>
      <c r="B80" s="26"/>
      <c r="C80" s="26"/>
      <c r="D80" s="51"/>
      <c r="E80" s="51"/>
      <c r="F80" s="51"/>
      <c r="G80" s="51"/>
      <c r="H80" s="51"/>
      <c r="I80" s="51"/>
      <c r="J80" s="51"/>
      <c r="K80" s="51"/>
      <c r="L80" s="117"/>
      <c r="M80" s="51"/>
      <c r="N80" s="21"/>
      <c r="O80" s="65"/>
      <c r="P80" s="65"/>
    </row>
    <row r="81" spans="1:23" ht="15.75" customHeight="1">
      <c r="A81" s="106" t="s">
        <v>459</v>
      </c>
      <c r="B81" s="62">
        <f>SUM(B83:B85)</f>
        <v>17662</v>
      </c>
      <c r="C81" s="62" t="s">
        <v>374</v>
      </c>
      <c r="D81" s="62" t="s">
        <v>374</v>
      </c>
      <c r="E81" s="122">
        <f>SUM(E83:E85)</f>
        <v>17662</v>
      </c>
      <c r="F81" s="97" t="s">
        <v>374</v>
      </c>
      <c r="G81" s="97" t="s">
        <v>374</v>
      </c>
      <c r="H81" s="97" t="s">
        <v>374</v>
      </c>
      <c r="I81" s="97" t="s">
        <v>374</v>
      </c>
      <c r="J81" s="97" t="s">
        <v>374</v>
      </c>
      <c r="K81" s="97" t="s">
        <v>374</v>
      </c>
      <c r="L81" s="97" t="s">
        <v>374</v>
      </c>
      <c r="M81" s="97" t="s">
        <v>374</v>
      </c>
      <c r="N81" s="98" t="s">
        <v>374</v>
      </c>
      <c r="O81" s="112" t="s">
        <v>374</v>
      </c>
      <c r="P81" s="112" t="s">
        <v>374</v>
      </c>
    </row>
    <row r="82" spans="1:23" ht="15.75" customHeight="1">
      <c r="A82" s="120"/>
      <c r="B82" s="64"/>
      <c r="C82" s="26"/>
      <c r="D82" s="51"/>
      <c r="E82" s="117"/>
      <c r="F82" s="51"/>
      <c r="G82" s="51"/>
      <c r="H82" s="51"/>
      <c r="I82" s="51"/>
      <c r="J82" s="51"/>
      <c r="K82" s="51"/>
      <c r="L82" s="117"/>
      <c r="M82" s="51"/>
      <c r="N82" s="21"/>
      <c r="O82" s="65"/>
      <c r="P82" s="65"/>
      <c r="V82" s="91"/>
      <c r="W82" s="91"/>
    </row>
    <row r="83" spans="1:23" ht="15.75" customHeight="1">
      <c r="A83" s="120" t="s">
        <v>460</v>
      </c>
      <c r="B83" s="26">
        <f>SUM(C83:P83)</f>
        <v>310</v>
      </c>
      <c r="C83" s="64" t="s">
        <v>374</v>
      </c>
      <c r="D83" s="64" t="s">
        <v>374</v>
      </c>
      <c r="E83" s="24">
        <f>'c-13'!F11</f>
        <v>310</v>
      </c>
      <c r="F83" s="117" t="s">
        <v>374</v>
      </c>
      <c r="G83" s="117" t="s">
        <v>374</v>
      </c>
      <c r="H83" s="117" t="s">
        <v>374</v>
      </c>
      <c r="I83" s="117" t="s">
        <v>374</v>
      </c>
      <c r="J83" s="117" t="s">
        <v>374</v>
      </c>
      <c r="K83" s="117" t="s">
        <v>374</v>
      </c>
      <c r="L83" s="117" t="s">
        <v>374</v>
      </c>
      <c r="M83" s="117" t="s">
        <v>374</v>
      </c>
      <c r="N83" s="118" t="s">
        <v>374</v>
      </c>
      <c r="O83" s="65" t="s">
        <v>374</v>
      </c>
      <c r="P83" s="65" t="s">
        <v>374</v>
      </c>
    </row>
    <row r="84" spans="1:23" ht="15.75" customHeight="1">
      <c r="A84" s="120" t="s">
        <v>461</v>
      </c>
      <c r="B84" s="26">
        <f>SUM(C84:P84)</f>
        <v>2939</v>
      </c>
      <c r="C84" s="64" t="s">
        <v>374</v>
      </c>
      <c r="D84" s="64" t="s">
        <v>374</v>
      </c>
      <c r="E84" s="24">
        <f>'c-13'!F13</f>
        <v>2939</v>
      </c>
      <c r="F84" s="117" t="s">
        <v>374</v>
      </c>
      <c r="G84" s="117" t="s">
        <v>374</v>
      </c>
      <c r="H84" s="117" t="s">
        <v>374</v>
      </c>
      <c r="I84" s="117" t="s">
        <v>374</v>
      </c>
      <c r="J84" s="117" t="s">
        <v>374</v>
      </c>
      <c r="K84" s="117" t="s">
        <v>374</v>
      </c>
      <c r="L84" s="117" t="s">
        <v>374</v>
      </c>
      <c r="M84" s="117" t="s">
        <v>374</v>
      </c>
      <c r="N84" s="118" t="s">
        <v>374</v>
      </c>
      <c r="O84" s="65" t="s">
        <v>374</v>
      </c>
      <c r="P84" s="65" t="s">
        <v>374</v>
      </c>
      <c r="V84" s="123"/>
      <c r="W84" s="123"/>
    </row>
    <row r="85" spans="1:23" ht="15.75" customHeight="1">
      <c r="A85" s="120" t="s">
        <v>462</v>
      </c>
      <c r="B85" s="26">
        <f>SUM(C85:P85)</f>
        <v>14413</v>
      </c>
      <c r="C85" s="64" t="s">
        <v>374</v>
      </c>
      <c r="D85" s="64" t="s">
        <v>374</v>
      </c>
      <c r="E85" s="24">
        <f>'c-13'!F15</f>
        <v>14413</v>
      </c>
      <c r="F85" s="117" t="s">
        <v>374</v>
      </c>
      <c r="G85" s="117" t="s">
        <v>374</v>
      </c>
      <c r="H85" s="117" t="s">
        <v>374</v>
      </c>
      <c r="I85" s="117" t="s">
        <v>374</v>
      </c>
      <c r="J85" s="117" t="s">
        <v>374</v>
      </c>
      <c r="K85" s="117" t="s">
        <v>374</v>
      </c>
      <c r="L85" s="117" t="s">
        <v>374</v>
      </c>
      <c r="M85" s="117" t="s">
        <v>374</v>
      </c>
      <c r="N85" s="118" t="s">
        <v>374</v>
      </c>
      <c r="O85" s="65" t="s">
        <v>374</v>
      </c>
      <c r="P85" s="65" t="s">
        <v>374</v>
      </c>
    </row>
    <row r="86" spans="1:23" s="91" customFormat="1" ht="15.75" customHeight="1">
      <c r="A86" s="113"/>
      <c r="B86" s="26"/>
      <c r="C86" s="51"/>
      <c r="D86" s="51"/>
      <c r="E86" s="51"/>
      <c r="F86" s="51"/>
      <c r="G86" s="51"/>
      <c r="H86" s="51"/>
      <c r="I86" s="51"/>
      <c r="J86" s="51"/>
      <c r="K86" s="51"/>
      <c r="L86" s="117"/>
      <c r="M86" s="51"/>
      <c r="N86" s="21"/>
      <c r="O86" s="65"/>
      <c r="P86" s="65"/>
      <c r="V86" s="35"/>
      <c r="W86" s="35"/>
    </row>
    <row r="87" spans="1:23" ht="15.75" customHeight="1">
      <c r="A87" s="106" t="s">
        <v>463</v>
      </c>
      <c r="B87" s="62">
        <f>SUM(B89:B89)</f>
        <v>3278</v>
      </c>
      <c r="C87" s="98" t="s">
        <v>374</v>
      </c>
      <c r="D87" s="122">
        <f>SUM(D89:D89)</f>
        <v>3278</v>
      </c>
      <c r="E87" s="62" t="s">
        <v>374</v>
      </c>
      <c r="F87" s="97" t="s">
        <v>374</v>
      </c>
      <c r="G87" s="97" t="s">
        <v>374</v>
      </c>
      <c r="H87" s="97" t="s">
        <v>374</v>
      </c>
      <c r="I87" s="97" t="s">
        <v>374</v>
      </c>
      <c r="J87" s="97" t="s">
        <v>374</v>
      </c>
      <c r="K87" s="97" t="s">
        <v>374</v>
      </c>
      <c r="L87" s="97" t="s">
        <v>374</v>
      </c>
      <c r="M87" s="97" t="s">
        <v>374</v>
      </c>
      <c r="N87" s="98" t="s">
        <v>374</v>
      </c>
      <c r="O87" s="112" t="s">
        <v>374</v>
      </c>
      <c r="P87" s="112" t="s">
        <v>374</v>
      </c>
    </row>
    <row r="88" spans="1:23" ht="15.75" customHeight="1">
      <c r="A88" s="120"/>
      <c r="B88" s="64"/>
      <c r="C88" s="51"/>
      <c r="D88" s="51"/>
      <c r="E88" s="117"/>
      <c r="F88" s="51"/>
      <c r="G88" s="51"/>
      <c r="H88" s="51"/>
      <c r="I88" s="51"/>
      <c r="J88" s="51"/>
      <c r="K88" s="51"/>
      <c r="L88" s="117"/>
      <c r="M88" s="51"/>
      <c r="N88" s="21"/>
      <c r="O88" s="65"/>
      <c r="P88" s="65"/>
    </row>
    <row r="89" spans="1:23" ht="15.75" customHeight="1">
      <c r="A89" s="120" t="s">
        <v>464</v>
      </c>
      <c r="B89" s="26">
        <f>SUM(C89:P89)</f>
        <v>3278</v>
      </c>
      <c r="C89" s="118" t="s">
        <v>374</v>
      </c>
      <c r="D89" s="64">
        <f>'c-11'!E18</f>
        <v>3278</v>
      </c>
      <c r="E89" s="64" t="s">
        <v>374</v>
      </c>
      <c r="F89" s="117" t="s">
        <v>374</v>
      </c>
      <c r="G89" s="117" t="s">
        <v>374</v>
      </c>
      <c r="H89" s="117" t="s">
        <v>374</v>
      </c>
      <c r="I89" s="117" t="s">
        <v>374</v>
      </c>
      <c r="J89" s="117" t="s">
        <v>374</v>
      </c>
      <c r="K89" s="117" t="s">
        <v>374</v>
      </c>
      <c r="L89" s="117" t="s">
        <v>374</v>
      </c>
      <c r="M89" s="117" t="s">
        <v>374</v>
      </c>
      <c r="N89" s="118" t="s">
        <v>374</v>
      </c>
      <c r="O89" s="65" t="s">
        <v>374</v>
      </c>
      <c r="P89" s="65" t="s">
        <v>374</v>
      </c>
    </row>
    <row r="90" spans="1:23" ht="15.75" customHeight="1">
      <c r="A90" s="113"/>
      <c r="B90" s="26"/>
      <c r="C90" s="51"/>
      <c r="D90" s="51"/>
      <c r="E90" s="51"/>
      <c r="F90" s="51"/>
      <c r="G90" s="51"/>
      <c r="H90" s="51"/>
      <c r="I90" s="51"/>
      <c r="J90" s="51"/>
      <c r="K90" s="51"/>
      <c r="L90" s="117"/>
      <c r="M90" s="51"/>
      <c r="N90" s="21"/>
      <c r="O90" s="65"/>
      <c r="P90" s="65"/>
    </row>
    <row r="91" spans="1:23" ht="15.75" customHeight="1">
      <c r="A91" s="106" t="s">
        <v>228</v>
      </c>
      <c r="B91" s="62">
        <f>SUM(B93:B104)</f>
        <v>21348</v>
      </c>
      <c r="C91" s="97" t="s">
        <v>374</v>
      </c>
      <c r="D91" s="97" t="s">
        <v>374</v>
      </c>
      <c r="E91" s="97" t="s">
        <v>374</v>
      </c>
      <c r="F91" s="62">
        <f>SUM(F93:F104)</f>
        <v>21348</v>
      </c>
      <c r="G91" s="62" t="s">
        <v>374</v>
      </c>
      <c r="H91" s="97" t="s">
        <v>374</v>
      </c>
      <c r="I91" s="97" t="s">
        <v>374</v>
      </c>
      <c r="J91" s="97" t="s">
        <v>374</v>
      </c>
      <c r="K91" s="97" t="s">
        <v>374</v>
      </c>
      <c r="L91" s="97" t="s">
        <v>374</v>
      </c>
      <c r="M91" s="97" t="s">
        <v>374</v>
      </c>
      <c r="N91" s="98" t="s">
        <v>374</v>
      </c>
      <c r="O91" s="112" t="s">
        <v>374</v>
      </c>
      <c r="P91" s="112" t="s">
        <v>374</v>
      </c>
    </row>
    <row r="92" spans="1:23" ht="15.75" customHeight="1">
      <c r="A92" s="120"/>
      <c r="B92" s="64"/>
      <c r="C92" s="51"/>
      <c r="D92" s="51"/>
      <c r="E92" s="51"/>
      <c r="F92" s="117"/>
      <c r="G92" s="51"/>
      <c r="H92" s="51"/>
      <c r="I92" s="51"/>
      <c r="J92" s="51"/>
      <c r="K92" s="51"/>
      <c r="L92" s="117"/>
      <c r="M92" s="51"/>
      <c r="N92" s="118"/>
      <c r="O92" s="65"/>
      <c r="P92" s="65"/>
    </row>
    <row r="93" spans="1:23" ht="15.75" customHeight="1">
      <c r="A93" s="120" t="s">
        <v>465</v>
      </c>
      <c r="B93" s="26">
        <f t="shared" ref="B93:B104" si="2">SUM(C93:P93)</f>
        <v>1647</v>
      </c>
      <c r="C93" s="117" t="s">
        <v>374</v>
      </c>
      <c r="D93" s="117" t="s">
        <v>374</v>
      </c>
      <c r="E93" s="117" t="s">
        <v>374</v>
      </c>
      <c r="F93" s="65">
        <f>'c-14'!F12</f>
        <v>1647</v>
      </c>
      <c r="G93" s="64" t="s">
        <v>374</v>
      </c>
      <c r="H93" s="117" t="s">
        <v>374</v>
      </c>
      <c r="I93" s="117" t="s">
        <v>374</v>
      </c>
      <c r="J93" s="117" t="s">
        <v>374</v>
      </c>
      <c r="K93" s="117" t="s">
        <v>374</v>
      </c>
      <c r="L93" s="117" t="s">
        <v>374</v>
      </c>
      <c r="M93" s="117" t="s">
        <v>374</v>
      </c>
      <c r="N93" s="118" t="s">
        <v>374</v>
      </c>
      <c r="O93" s="65" t="s">
        <v>374</v>
      </c>
      <c r="P93" s="65" t="s">
        <v>374</v>
      </c>
    </row>
    <row r="94" spans="1:23" ht="15.75" customHeight="1">
      <c r="A94" s="120" t="s">
        <v>466</v>
      </c>
      <c r="B94" s="26">
        <f t="shared" si="2"/>
        <v>1683</v>
      </c>
      <c r="C94" s="117" t="s">
        <v>374</v>
      </c>
      <c r="D94" s="117" t="s">
        <v>374</v>
      </c>
      <c r="E94" s="117" t="s">
        <v>374</v>
      </c>
      <c r="F94" s="65">
        <f>'c-14'!F13</f>
        <v>1683</v>
      </c>
      <c r="G94" s="64" t="s">
        <v>374</v>
      </c>
      <c r="H94" s="117" t="s">
        <v>374</v>
      </c>
      <c r="I94" s="117" t="s">
        <v>374</v>
      </c>
      <c r="J94" s="117" t="s">
        <v>374</v>
      </c>
      <c r="K94" s="117" t="s">
        <v>374</v>
      </c>
      <c r="L94" s="117" t="s">
        <v>374</v>
      </c>
      <c r="M94" s="117" t="s">
        <v>374</v>
      </c>
      <c r="N94" s="118" t="s">
        <v>374</v>
      </c>
      <c r="O94" s="65" t="s">
        <v>374</v>
      </c>
      <c r="P94" s="65" t="s">
        <v>374</v>
      </c>
    </row>
    <row r="95" spans="1:23" ht="15.75" customHeight="1">
      <c r="A95" s="120" t="s">
        <v>467</v>
      </c>
      <c r="B95" s="26">
        <f t="shared" si="2"/>
        <v>895</v>
      </c>
      <c r="C95" s="117" t="s">
        <v>374</v>
      </c>
      <c r="D95" s="117" t="s">
        <v>374</v>
      </c>
      <c r="E95" s="117" t="s">
        <v>374</v>
      </c>
      <c r="F95" s="65">
        <f>'c-14'!F14</f>
        <v>895</v>
      </c>
      <c r="G95" s="64" t="s">
        <v>374</v>
      </c>
      <c r="H95" s="117" t="s">
        <v>374</v>
      </c>
      <c r="I95" s="117" t="s">
        <v>374</v>
      </c>
      <c r="J95" s="117" t="s">
        <v>374</v>
      </c>
      <c r="K95" s="117" t="s">
        <v>374</v>
      </c>
      <c r="L95" s="117" t="s">
        <v>374</v>
      </c>
      <c r="M95" s="117" t="s">
        <v>374</v>
      </c>
      <c r="N95" s="118" t="s">
        <v>374</v>
      </c>
      <c r="O95" s="65" t="s">
        <v>374</v>
      </c>
      <c r="P95" s="65" t="s">
        <v>374</v>
      </c>
      <c r="V95" s="91"/>
      <c r="W95" s="91"/>
    </row>
    <row r="96" spans="1:23" ht="15.75" customHeight="1">
      <c r="A96" s="120" t="s">
        <v>468</v>
      </c>
      <c r="B96" s="26">
        <f t="shared" si="2"/>
        <v>2277</v>
      </c>
      <c r="C96" s="117" t="s">
        <v>374</v>
      </c>
      <c r="D96" s="117" t="s">
        <v>374</v>
      </c>
      <c r="E96" s="117" t="s">
        <v>374</v>
      </c>
      <c r="F96" s="65">
        <f>'c-14'!F18</f>
        <v>2277</v>
      </c>
      <c r="G96" s="64" t="s">
        <v>374</v>
      </c>
      <c r="H96" s="117" t="s">
        <v>374</v>
      </c>
      <c r="I96" s="117" t="s">
        <v>374</v>
      </c>
      <c r="J96" s="117" t="s">
        <v>374</v>
      </c>
      <c r="K96" s="117" t="s">
        <v>374</v>
      </c>
      <c r="L96" s="117" t="s">
        <v>374</v>
      </c>
      <c r="M96" s="117" t="s">
        <v>374</v>
      </c>
      <c r="N96" s="118" t="s">
        <v>374</v>
      </c>
      <c r="O96" s="65" t="s">
        <v>374</v>
      </c>
      <c r="P96" s="65" t="s">
        <v>374</v>
      </c>
    </row>
    <row r="97" spans="1:23" ht="15.75" customHeight="1">
      <c r="A97" s="120" t="s">
        <v>425</v>
      </c>
      <c r="B97" s="26">
        <f t="shared" si="2"/>
        <v>1929</v>
      </c>
      <c r="C97" s="117" t="s">
        <v>374</v>
      </c>
      <c r="D97" s="117" t="s">
        <v>374</v>
      </c>
      <c r="E97" s="117" t="s">
        <v>374</v>
      </c>
      <c r="F97" s="65">
        <f>'c-14'!F22</f>
        <v>1929</v>
      </c>
      <c r="G97" s="64" t="s">
        <v>374</v>
      </c>
      <c r="H97" s="117" t="s">
        <v>374</v>
      </c>
      <c r="I97" s="117" t="s">
        <v>374</v>
      </c>
      <c r="J97" s="117" t="s">
        <v>374</v>
      </c>
      <c r="K97" s="117" t="s">
        <v>374</v>
      </c>
      <c r="L97" s="117" t="s">
        <v>374</v>
      </c>
      <c r="M97" s="117" t="s">
        <v>374</v>
      </c>
      <c r="N97" s="118" t="s">
        <v>374</v>
      </c>
      <c r="O97" s="65" t="s">
        <v>374</v>
      </c>
      <c r="P97" s="65" t="s">
        <v>374</v>
      </c>
    </row>
    <row r="98" spans="1:23" ht="15.75" customHeight="1">
      <c r="A98" s="120" t="s">
        <v>450</v>
      </c>
      <c r="B98" s="26">
        <f t="shared" si="2"/>
        <v>2034</v>
      </c>
      <c r="C98" s="117" t="s">
        <v>374</v>
      </c>
      <c r="D98" s="117" t="s">
        <v>374</v>
      </c>
      <c r="E98" s="117" t="s">
        <v>374</v>
      </c>
      <c r="F98" s="65">
        <f>'c-14'!F25</f>
        <v>2034</v>
      </c>
      <c r="G98" s="64" t="s">
        <v>374</v>
      </c>
      <c r="H98" s="117" t="s">
        <v>374</v>
      </c>
      <c r="I98" s="117" t="s">
        <v>374</v>
      </c>
      <c r="J98" s="117" t="s">
        <v>374</v>
      </c>
      <c r="K98" s="117" t="s">
        <v>374</v>
      </c>
      <c r="L98" s="117" t="s">
        <v>374</v>
      </c>
      <c r="M98" s="117" t="s">
        <v>374</v>
      </c>
      <c r="N98" s="118" t="s">
        <v>374</v>
      </c>
      <c r="O98" s="65" t="s">
        <v>374</v>
      </c>
      <c r="P98" s="65" t="s">
        <v>374</v>
      </c>
    </row>
    <row r="99" spans="1:23" ht="15.75" customHeight="1">
      <c r="A99" s="120" t="s">
        <v>498</v>
      </c>
      <c r="B99" s="26">
        <f t="shared" si="2"/>
        <v>1256</v>
      </c>
      <c r="C99" s="117" t="s">
        <v>374</v>
      </c>
      <c r="D99" s="117" t="s">
        <v>374</v>
      </c>
      <c r="E99" s="117" t="s">
        <v>374</v>
      </c>
      <c r="F99" s="65">
        <f>'c-14'!F28</f>
        <v>1256</v>
      </c>
      <c r="G99" s="64" t="s">
        <v>374</v>
      </c>
      <c r="H99" s="117" t="s">
        <v>374</v>
      </c>
      <c r="I99" s="117" t="s">
        <v>374</v>
      </c>
      <c r="J99" s="117" t="s">
        <v>374</v>
      </c>
      <c r="K99" s="117" t="s">
        <v>374</v>
      </c>
      <c r="L99" s="117" t="s">
        <v>374</v>
      </c>
      <c r="M99" s="64" t="s">
        <v>374</v>
      </c>
      <c r="N99" s="66" t="s">
        <v>374</v>
      </c>
      <c r="O99" s="65" t="s">
        <v>374</v>
      </c>
      <c r="P99" s="65" t="s">
        <v>374</v>
      </c>
    </row>
    <row r="100" spans="1:23" ht="15.75" customHeight="1">
      <c r="A100" s="120" t="s">
        <v>451</v>
      </c>
      <c r="B100" s="26">
        <f t="shared" si="2"/>
        <v>3079</v>
      </c>
      <c r="C100" s="117" t="s">
        <v>374</v>
      </c>
      <c r="D100" s="117" t="s">
        <v>374</v>
      </c>
      <c r="E100" s="117" t="s">
        <v>374</v>
      </c>
      <c r="F100" s="65">
        <f>'c-14'!F36</f>
        <v>3079</v>
      </c>
      <c r="G100" s="64" t="s">
        <v>374</v>
      </c>
      <c r="H100" s="117" t="s">
        <v>374</v>
      </c>
      <c r="I100" s="117" t="s">
        <v>374</v>
      </c>
      <c r="J100" s="117" t="s">
        <v>374</v>
      </c>
      <c r="K100" s="117" t="s">
        <v>374</v>
      </c>
      <c r="L100" s="117" t="s">
        <v>374</v>
      </c>
      <c r="M100" s="117" t="s">
        <v>374</v>
      </c>
      <c r="N100" s="118" t="s">
        <v>374</v>
      </c>
      <c r="O100" s="65" t="s">
        <v>374</v>
      </c>
      <c r="P100" s="65" t="s">
        <v>374</v>
      </c>
    </row>
    <row r="101" spans="1:23" ht="15.75" customHeight="1">
      <c r="A101" s="120" t="s">
        <v>426</v>
      </c>
      <c r="B101" s="26">
        <f t="shared" si="2"/>
        <v>3087</v>
      </c>
      <c r="C101" s="117" t="s">
        <v>374</v>
      </c>
      <c r="D101" s="117" t="s">
        <v>374</v>
      </c>
      <c r="E101" s="117" t="s">
        <v>374</v>
      </c>
      <c r="F101" s="65">
        <f>'c-14'!F40</f>
        <v>3087</v>
      </c>
      <c r="G101" s="64" t="s">
        <v>374</v>
      </c>
      <c r="H101" s="117" t="s">
        <v>374</v>
      </c>
      <c r="I101" s="117" t="s">
        <v>374</v>
      </c>
      <c r="J101" s="117" t="s">
        <v>374</v>
      </c>
      <c r="K101" s="117" t="s">
        <v>374</v>
      </c>
      <c r="L101" s="117" t="s">
        <v>374</v>
      </c>
      <c r="M101" s="117" t="s">
        <v>374</v>
      </c>
      <c r="N101" s="118" t="s">
        <v>374</v>
      </c>
      <c r="O101" s="65" t="s">
        <v>374</v>
      </c>
      <c r="P101" s="65" t="s">
        <v>374</v>
      </c>
    </row>
    <row r="102" spans="1:23" ht="15.75" customHeight="1">
      <c r="A102" s="120" t="s">
        <v>427</v>
      </c>
      <c r="B102" s="26">
        <f t="shared" si="2"/>
        <v>1173</v>
      </c>
      <c r="C102" s="117" t="s">
        <v>374</v>
      </c>
      <c r="D102" s="117" t="s">
        <v>374</v>
      </c>
      <c r="E102" s="117" t="s">
        <v>374</v>
      </c>
      <c r="F102" s="65">
        <f>'c-14'!F52</f>
        <v>1173</v>
      </c>
      <c r="G102" s="64" t="s">
        <v>374</v>
      </c>
      <c r="H102" s="117" t="s">
        <v>374</v>
      </c>
      <c r="I102" s="117" t="s">
        <v>374</v>
      </c>
      <c r="J102" s="117" t="s">
        <v>374</v>
      </c>
      <c r="K102" s="117" t="s">
        <v>374</v>
      </c>
      <c r="L102" s="117" t="s">
        <v>374</v>
      </c>
      <c r="M102" s="117" t="s">
        <v>374</v>
      </c>
      <c r="N102" s="118" t="s">
        <v>374</v>
      </c>
      <c r="O102" s="65" t="s">
        <v>374</v>
      </c>
      <c r="P102" s="65" t="s">
        <v>374</v>
      </c>
      <c r="V102" s="91"/>
      <c r="W102" s="91"/>
    </row>
    <row r="103" spans="1:23" ht="15.75" customHeight="1">
      <c r="A103" s="120" t="s">
        <v>890</v>
      </c>
      <c r="B103" s="26">
        <f>SUM(C103:P103)</f>
        <v>857</v>
      </c>
      <c r="C103" s="117" t="s">
        <v>374</v>
      </c>
      <c r="D103" s="117" t="s">
        <v>374</v>
      </c>
      <c r="E103" s="117" t="s">
        <v>374</v>
      </c>
      <c r="F103" s="65">
        <f>'c-14'!F65</f>
        <v>857</v>
      </c>
      <c r="G103" s="64" t="s">
        <v>374</v>
      </c>
      <c r="H103" s="117" t="s">
        <v>374</v>
      </c>
      <c r="I103" s="117" t="s">
        <v>374</v>
      </c>
      <c r="J103" s="117" t="s">
        <v>374</v>
      </c>
      <c r="K103" s="117" t="s">
        <v>374</v>
      </c>
      <c r="L103" s="117" t="s">
        <v>374</v>
      </c>
      <c r="M103" s="117" t="s">
        <v>374</v>
      </c>
      <c r="N103" s="118" t="s">
        <v>374</v>
      </c>
      <c r="O103" s="65" t="s">
        <v>374</v>
      </c>
      <c r="P103" s="65" t="s">
        <v>374</v>
      </c>
      <c r="V103" s="91"/>
      <c r="W103" s="91"/>
    </row>
    <row r="104" spans="1:23" ht="15.75" customHeight="1">
      <c r="A104" s="120" t="s">
        <v>1017</v>
      </c>
      <c r="B104" s="26">
        <f t="shared" si="2"/>
        <v>1431</v>
      </c>
      <c r="C104" s="117" t="s">
        <v>374</v>
      </c>
      <c r="D104" s="117" t="s">
        <v>374</v>
      </c>
      <c r="E104" s="117" t="s">
        <v>374</v>
      </c>
      <c r="F104" s="65">
        <f>'c-14'!F68</f>
        <v>1431</v>
      </c>
      <c r="G104" s="64" t="s">
        <v>374</v>
      </c>
      <c r="H104" s="117" t="s">
        <v>374</v>
      </c>
      <c r="I104" s="117" t="s">
        <v>374</v>
      </c>
      <c r="J104" s="117" t="s">
        <v>374</v>
      </c>
      <c r="K104" s="117" t="s">
        <v>374</v>
      </c>
      <c r="L104" s="117" t="s">
        <v>374</v>
      </c>
      <c r="M104" s="117" t="s">
        <v>374</v>
      </c>
      <c r="N104" s="118" t="s">
        <v>374</v>
      </c>
      <c r="O104" s="65" t="s">
        <v>374</v>
      </c>
      <c r="P104" s="65" t="s">
        <v>374</v>
      </c>
      <c r="V104" s="91"/>
      <c r="W104" s="91"/>
    </row>
    <row r="105" spans="1:23" ht="15.75" customHeight="1">
      <c r="A105" s="120"/>
      <c r="B105" s="64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117"/>
      <c r="N105" s="118"/>
      <c r="O105" s="65"/>
      <c r="P105" s="65"/>
      <c r="V105" s="91"/>
      <c r="W105" s="91"/>
    </row>
    <row r="106" spans="1:23" ht="15.75" customHeight="1">
      <c r="A106" s="106" t="s">
        <v>230</v>
      </c>
      <c r="B106" s="62">
        <f>SUM(B108:B119)</f>
        <v>32343</v>
      </c>
      <c r="C106" s="97" t="s">
        <v>374</v>
      </c>
      <c r="D106" s="97" t="s">
        <v>374</v>
      </c>
      <c r="E106" s="97" t="s">
        <v>374</v>
      </c>
      <c r="F106" s="97" t="s">
        <v>374</v>
      </c>
      <c r="G106" s="62" t="s">
        <v>374</v>
      </c>
      <c r="H106" s="97" t="s">
        <v>374</v>
      </c>
      <c r="I106" s="97" t="s">
        <v>374</v>
      </c>
      <c r="J106" s="97" t="s">
        <v>374</v>
      </c>
      <c r="K106" s="97" t="s">
        <v>374</v>
      </c>
      <c r="L106" s="97" t="s">
        <v>374</v>
      </c>
      <c r="M106" s="97" t="s">
        <v>374</v>
      </c>
      <c r="N106" s="63">
        <f>SUM(N108:N119)</f>
        <v>32343</v>
      </c>
      <c r="O106" s="112" t="s">
        <v>374</v>
      </c>
      <c r="P106" s="112" t="s">
        <v>374</v>
      </c>
    </row>
    <row r="107" spans="1:23" ht="15.75" customHeight="1">
      <c r="A107" s="120"/>
      <c r="B107" s="64"/>
      <c r="C107" s="51"/>
      <c r="D107" s="51"/>
      <c r="E107" s="51"/>
      <c r="F107" s="117"/>
      <c r="G107" s="51"/>
      <c r="H107" s="51"/>
      <c r="I107" s="51"/>
      <c r="J107" s="51"/>
      <c r="K107" s="51"/>
      <c r="L107" s="117"/>
      <c r="M107" s="51"/>
      <c r="N107" s="118"/>
      <c r="O107" s="65"/>
      <c r="P107" s="65"/>
    </row>
    <row r="108" spans="1:23" ht="15.75" customHeight="1">
      <c r="A108" s="120" t="s">
        <v>891</v>
      </c>
      <c r="B108" s="26">
        <f t="shared" ref="B108:B119" si="3">SUM(C108:P108)</f>
        <v>2027</v>
      </c>
      <c r="C108" s="117" t="s">
        <v>374</v>
      </c>
      <c r="D108" s="117" t="s">
        <v>374</v>
      </c>
      <c r="E108" s="117" t="s">
        <v>374</v>
      </c>
      <c r="F108" s="117" t="s">
        <v>374</v>
      </c>
      <c r="G108" s="117" t="s">
        <v>374</v>
      </c>
      <c r="H108" s="117" t="s">
        <v>374</v>
      </c>
      <c r="I108" s="117" t="s">
        <v>374</v>
      </c>
      <c r="J108" s="117" t="s">
        <v>374</v>
      </c>
      <c r="K108" s="117" t="s">
        <v>374</v>
      </c>
      <c r="L108" s="117" t="s">
        <v>374</v>
      </c>
      <c r="M108" s="117" t="s">
        <v>374</v>
      </c>
      <c r="N108" s="65">
        <f>'c-16'!F12</f>
        <v>2027</v>
      </c>
      <c r="O108" s="65" t="s">
        <v>374</v>
      </c>
      <c r="P108" s="65" t="s">
        <v>374</v>
      </c>
    </row>
    <row r="109" spans="1:23" ht="15.75" customHeight="1">
      <c r="A109" s="120" t="s">
        <v>468</v>
      </c>
      <c r="B109" s="26">
        <f t="shared" si="3"/>
        <v>5936</v>
      </c>
      <c r="C109" s="117" t="s">
        <v>374</v>
      </c>
      <c r="D109" s="117" t="s">
        <v>374</v>
      </c>
      <c r="E109" s="117" t="s">
        <v>374</v>
      </c>
      <c r="F109" s="117" t="s">
        <v>374</v>
      </c>
      <c r="G109" s="117" t="s">
        <v>374</v>
      </c>
      <c r="H109" s="117" t="s">
        <v>374</v>
      </c>
      <c r="I109" s="117" t="s">
        <v>374</v>
      </c>
      <c r="J109" s="117" t="s">
        <v>374</v>
      </c>
      <c r="K109" s="117" t="s">
        <v>374</v>
      </c>
      <c r="L109" s="117" t="s">
        <v>374</v>
      </c>
      <c r="M109" s="117" t="s">
        <v>374</v>
      </c>
      <c r="N109" s="65">
        <f>'c-16'!F20</f>
        <v>5936</v>
      </c>
      <c r="O109" s="65" t="s">
        <v>374</v>
      </c>
      <c r="P109" s="65" t="s">
        <v>374</v>
      </c>
    </row>
    <row r="110" spans="1:23" ht="15.75" customHeight="1">
      <c r="A110" s="120" t="s">
        <v>892</v>
      </c>
      <c r="B110" s="26">
        <f t="shared" si="3"/>
        <v>2729</v>
      </c>
      <c r="C110" s="117" t="s">
        <v>374</v>
      </c>
      <c r="D110" s="117" t="s">
        <v>374</v>
      </c>
      <c r="E110" s="117" t="s">
        <v>374</v>
      </c>
      <c r="F110" s="117" t="s">
        <v>374</v>
      </c>
      <c r="G110" s="117" t="s">
        <v>374</v>
      </c>
      <c r="H110" s="117" t="s">
        <v>374</v>
      </c>
      <c r="I110" s="117" t="s">
        <v>374</v>
      </c>
      <c r="J110" s="117" t="s">
        <v>374</v>
      </c>
      <c r="K110" s="117" t="s">
        <v>374</v>
      </c>
      <c r="L110" s="117" t="s">
        <v>374</v>
      </c>
      <c r="M110" s="117" t="s">
        <v>374</v>
      </c>
      <c r="N110" s="65">
        <f>'c-16'!F23</f>
        <v>2729</v>
      </c>
      <c r="O110" s="65" t="s">
        <v>374</v>
      </c>
      <c r="P110" s="65" t="s">
        <v>374</v>
      </c>
    </row>
    <row r="111" spans="1:23" ht="15.75" customHeight="1">
      <c r="A111" s="120" t="s">
        <v>893</v>
      </c>
      <c r="B111" s="26">
        <f t="shared" si="3"/>
        <v>2471</v>
      </c>
      <c r="C111" s="117" t="s">
        <v>374</v>
      </c>
      <c r="D111" s="117" t="s">
        <v>374</v>
      </c>
      <c r="E111" s="117" t="s">
        <v>374</v>
      </c>
      <c r="F111" s="117" t="s">
        <v>374</v>
      </c>
      <c r="G111" s="117" t="s">
        <v>374</v>
      </c>
      <c r="H111" s="117" t="s">
        <v>374</v>
      </c>
      <c r="I111" s="117" t="s">
        <v>374</v>
      </c>
      <c r="J111" s="117" t="s">
        <v>374</v>
      </c>
      <c r="K111" s="117" t="s">
        <v>374</v>
      </c>
      <c r="L111" s="117" t="s">
        <v>374</v>
      </c>
      <c r="M111" s="117" t="s">
        <v>374</v>
      </c>
      <c r="N111" s="65">
        <f>'c-16'!F25</f>
        <v>2471</v>
      </c>
      <c r="O111" s="65" t="s">
        <v>374</v>
      </c>
      <c r="P111" s="65" t="s">
        <v>374</v>
      </c>
    </row>
    <row r="112" spans="1:23" ht="15.75" customHeight="1">
      <c r="A112" s="120" t="s">
        <v>894</v>
      </c>
      <c r="B112" s="26">
        <f t="shared" si="3"/>
        <v>2216</v>
      </c>
      <c r="C112" s="117" t="s">
        <v>374</v>
      </c>
      <c r="D112" s="117" t="s">
        <v>374</v>
      </c>
      <c r="E112" s="117" t="s">
        <v>374</v>
      </c>
      <c r="F112" s="117" t="s">
        <v>374</v>
      </c>
      <c r="G112" s="117" t="s">
        <v>374</v>
      </c>
      <c r="H112" s="117" t="s">
        <v>374</v>
      </c>
      <c r="I112" s="117" t="s">
        <v>374</v>
      </c>
      <c r="J112" s="117" t="s">
        <v>374</v>
      </c>
      <c r="K112" s="117" t="s">
        <v>374</v>
      </c>
      <c r="L112" s="117" t="s">
        <v>374</v>
      </c>
      <c r="M112" s="117" t="s">
        <v>374</v>
      </c>
      <c r="N112" s="65">
        <f>'c-16'!F96</f>
        <v>2216</v>
      </c>
      <c r="O112" s="65" t="s">
        <v>374</v>
      </c>
      <c r="P112" s="65" t="s">
        <v>374</v>
      </c>
    </row>
    <row r="113" spans="1:23" s="91" customFormat="1" ht="15.75" customHeight="1">
      <c r="A113" s="120" t="s">
        <v>450</v>
      </c>
      <c r="B113" s="26">
        <f t="shared" si="3"/>
        <v>3990</v>
      </c>
      <c r="C113" s="117" t="s">
        <v>374</v>
      </c>
      <c r="D113" s="117" t="s">
        <v>374</v>
      </c>
      <c r="E113" s="117" t="s">
        <v>374</v>
      </c>
      <c r="F113" s="117" t="s">
        <v>374</v>
      </c>
      <c r="G113" s="117" t="s">
        <v>374</v>
      </c>
      <c r="H113" s="117" t="s">
        <v>374</v>
      </c>
      <c r="I113" s="117" t="s">
        <v>374</v>
      </c>
      <c r="J113" s="117" t="s">
        <v>374</v>
      </c>
      <c r="K113" s="117" t="s">
        <v>374</v>
      </c>
      <c r="L113" s="117" t="s">
        <v>374</v>
      </c>
      <c r="M113" s="117" t="s">
        <v>374</v>
      </c>
      <c r="N113" s="65">
        <f>'c-16'!F30</f>
        <v>3990</v>
      </c>
      <c r="O113" s="65" t="s">
        <v>374</v>
      </c>
      <c r="P113" s="65" t="s">
        <v>374</v>
      </c>
      <c r="V113" s="35"/>
      <c r="W113" s="35"/>
    </row>
    <row r="114" spans="1:23" ht="15.75" customHeight="1">
      <c r="A114" s="120" t="s">
        <v>895</v>
      </c>
      <c r="B114" s="26">
        <f t="shared" si="3"/>
        <v>1684</v>
      </c>
      <c r="C114" s="117" t="s">
        <v>374</v>
      </c>
      <c r="D114" s="117" t="s">
        <v>374</v>
      </c>
      <c r="E114" s="117" t="s">
        <v>374</v>
      </c>
      <c r="F114" s="117" t="s">
        <v>374</v>
      </c>
      <c r="G114" s="117" t="s">
        <v>374</v>
      </c>
      <c r="H114" s="117" t="s">
        <v>374</v>
      </c>
      <c r="I114" s="117" t="s">
        <v>374</v>
      </c>
      <c r="J114" s="117" t="s">
        <v>374</v>
      </c>
      <c r="K114" s="117" t="s">
        <v>374</v>
      </c>
      <c r="L114" s="117" t="s">
        <v>374</v>
      </c>
      <c r="M114" s="117" t="s">
        <v>374</v>
      </c>
      <c r="N114" s="65">
        <f>'c-16'!F37</f>
        <v>1684</v>
      </c>
      <c r="O114" s="65" t="s">
        <v>374</v>
      </c>
      <c r="P114" s="65" t="s">
        <v>374</v>
      </c>
    </row>
    <row r="115" spans="1:23" s="123" customFormat="1" ht="15.75" customHeight="1">
      <c r="A115" s="120" t="s">
        <v>451</v>
      </c>
      <c r="B115" s="26">
        <f t="shared" si="3"/>
        <v>2207</v>
      </c>
      <c r="C115" s="117" t="s">
        <v>374</v>
      </c>
      <c r="D115" s="117" t="s">
        <v>374</v>
      </c>
      <c r="E115" s="117" t="s">
        <v>374</v>
      </c>
      <c r="F115" s="117" t="s">
        <v>374</v>
      </c>
      <c r="G115" s="117" t="s">
        <v>374</v>
      </c>
      <c r="H115" s="117" t="s">
        <v>374</v>
      </c>
      <c r="I115" s="117" t="s">
        <v>374</v>
      </c>
      <c r="J115" s="117" t="s">
        <v>374</v>
      </c>
      <c r="K115" s="117" t="s">
        <v>374</v>
      </c>
      <c r="L115" s="117" t="s">
        <v>374</v>
      </c>
      <c r="M115" s="117" t="s">
        <v>374</v>
      </c>
      <c r="N115" s="65">
        <f>'c-16'!F53</f>
        <v>2207</v>
      </c>
      <c r="O115" s="65" t="s">
        <v>374</v>
      </c>
      <c r="P115" s="65" t="s">
        <v>374</v>
      </c>
      <c r="V115" s="35"/>
      <c r="W115" s="35"/>
    </row>
    <row r="116" spans="1:23" ht="15.75" customHeight="1">
      <c r="A116" s="120" t="s">
        <v>426</v>
      </c>
      <c r="B116" s="26">
        <f t="shared" si="3"/>
        <v>2525</v>
      </c>
      <c r="C116" s="117" t="s">
        <v>374</v>
      </c>
      <c r="D116" s="117" t="s">
        <v>374</v>
      </c>
      <c r="E116" s="117" t="s">
        <v>374</v>
      </c>
      <c r="F116" s="117" t="s">
        <v>374</v>
      </c>
      <c r="G116" s="117" t="s">
        <v>374</v>
      </c>
      <c r="H116" s="117" t="s">
        <v>374</v>
      </c>
      <c r="I116" s="117" t="s">
        <v>374</v>
      </c>
      <c r="J116" s="117" t="s">
        <v>374</v>
      </c>
      <c r="K116" s="117" t="s">
        <v>374</v>
      </c>
      <c r="L116" s="117" t="s">
        <v>374</v>
      </c>
      <c r="M116" s="117" t="s">
        <v>374</v>
      </c>
      <c r="N116" s="65">
        <f>'c-16'!F62</f>
        <v>2525</v>
      </c>
      <c r="O116" s="65" t="s">
        <v>374</v>
      </c>
      <c r="P116" s="65" t="s">
        <v>374</v>
      </c>
    </row>
    <row r="117" spans="1:23" ht="15.75" customHeight="1">
      <c r="A117" s="120" t="s">
        <v>427</v>
      </c>
      <c r="B117" s="26">
        <f t="shared" si="3"/>
        <v>3727</v>
      </c>
      <c r="C117" s="117" t="s">
        <v>374</v>
      </c>
      <c r="D117" s="117" t="s">
        <v>374</v>
      </c>
      <c r="E117" s="117" t="s">
        <v>374</v>
      </c>
      <c r="F117" s="117" t="s">
        <v>374</v>
      </c>
      <c r="G117" s="117" t="s">
        <v>374</v>
      </c>
      <c r="H117" s="117" t="s">
        <v>374</v>
      </c>
      <c r="I117" s="117" t="s">
        <v>374</v>
      </c>
      <c r="J117" s="117" t="s">
        <v>374</v>
      </c>
      <c r="K117" s="117" t="s">
        <v>374</v>
      </c>
      <c r="L117" s="117" t="s">
        <v>374</v>
      </c>
      <c r="M117" s="117" t="s">
        <v>374</v>
      </c>
      <c r="N117" s="65">
        <f>'c-16'!F86</f>
        <v>3727</v>
      </c>
      <c r="O117" s="65" t="s">
        <v>374</v>
      </c>
      <c r="P117" s="65" t="s">
        <v>374</v>
      </c>
    </row>
    <row r="118" spans="1:23" ht="15.75" customHeight="1">
      <c r="A118" s="120" t="s">
        <v>896</v>
      </c>
      <c r="B118" s="26">
        <f t="shared" si="3"/>
        <v>1069</v>
      </c>
      <c r="C118" s="117" t="s">
        <v>374</v>
      </c>
      <c r="D118" s="117" t="s">
        <v>374</v>
      </c>
      <c r="E118" s="117" t="s">
        <v>374</v>
      </c>
      <c r="F118" s="117" t="s">
        <v>374</v>
      </c>
      <c r="G118" s="117" t="s">
        <v>374</v>
      </c>
      <c r="H118" s="117" t="s">
        <v>374</v>
      </c>
      <c r="I118" s="117" t="s">
        <v>374</v>
      </c>
      <c r="J118" s="117" t="s">
        <v>374</v>
      </c>
      <c r="K118" s="117" t="s">
        <v>374</v>
      </c>
      <c r="L118" s="117" t="s">
        <v>374</v>
      </c>
      <c r="M118" s="117" t="s">
        <v>374</v>
      </c>
      <c r="N118" s="65">
        <f>'c-16'!F107</f>
        <v>1069</v>
      </c>
      <c r="O118" s="65" t="s">
        <v>374</v>
      </c>
      <c r="P118" s="65" t="s">
        <v>374</v>
      </c>
    </row>
    <row r="119" spans="1:23" ht="15.75" customHeight="1">
      <c r="A119" s="120" t="s">
        <v>897</v>
      </c>
      <c r="B119" s="26">
        <f t="shared" si="3"/>
        <v>1762</v>
      </c>
      <c r="C119" s="117" t="s">
        <v>374</v>
      </c>
      <c r="D119" s="117" t="s">
        <v>374</v>
      </c>
      <c r="E119" s="117" t="s">
        <v>374</v>
      </c>
      <c r="F119" s="117" t="s">
        <v>374</v>
      </c>
      <c r="G119" s="117" t="s">
        <v>374</v>
      </c>
      <c r="H119" s="117" t="s">
        <v>374</v>
      </c>
      <c r="I119" s="117" t="s">
        <v>374</v>
      </c>
      <c r="J119" s="117" t="s">
        <v>374</v>
      </c>
      <c r="K119" s="117" t="s">
        <v>374</v>
      </c>
      <c r="L119" s="117" t="s">
        <v>374</v>
      </c>
      <c r="M119" s="117" t="s">
        <v>374</v>
      </c>
      <c r="N119" s="65">
        <f>'c-16'!F112</f>
        <v>1762</v>
      </c>
      <c r="O119" s="65" t="s">
        <v>374</v>
      </c>
      <c r="P119" s="65" t="s">
        <v>374</v>
      </c>
    </row>
    <row r="120" spans="1:23" ht="15.75" customHeight="1">
      <c r="A120" s="120"/>
      <c r="B120" s="64"/>
      <c r="C120" s="117"/>
      <c r="D120" s="117"/>
      <c r="E120" s="117"/>
      <c r="F120" s="117"/>
      <c r="G120" s="117"/>
      <c r="H120" s="117"/>
      <c r="I120" s="117"/>
      <c r="J120" s="117"/>
      <c r="K120" s="117"/>
      <c r="L120" s="117"/>
      <c r="M120" s="117"/>
      <c r="N120" s="118"/>
      <c r="O120" s="65"/>
      <c r="P120" s="65"/>
    </row>
    <row r="121" spans="1:23" ht="15.75" customHeight="1">
      <c r="A121" s="106" t="s">
        <v>898</v>
      </c>
      <c r="B121" s="62">
        <f>SUM(B123:B132)</f>
        <v>2591</v>
      </c>
      <c r="C121" s="97" t="s">
        <v>374</v>
      </c>
      <c r="D121" s="97" t="s">
        <v>374</v>
      </c>
      <c r="E121" s="97" t="s">
        <v>374</v>
      </c>
      <c r="F121" s="97" t="s">
        <v>374</v>
      </c>
      <c r="G121" s="62">
        <f>SUM(G123:G132)</f>
        <v>2591</v>
      </c>
      <c r="H121" s="97" t="s">
        <v>374</v>
      </c>
      <c r="I121" s="97" t="s">
        <v>374</v>
      </c>
      <c r="J121" s="97" t="s">
        <v>374</v>
      </c>
      <c r="K121" s="97" t="s">
        <v>374</v>
      </c>
      <c r="L121" s="97" t="s">
        <v>374</v>
      </c>
      <c r="M121" s="97" t="s">
        <v>374</v>
      </c>
      <c r="N121" s="98" t="s">
        <v>374</v>
      </c>
      <c r="O121" s="112" t="s">
        <v>374</v>
      </c>
      <c r="P121" s="112" t="s">
        <v>374</v>
      </c>
    </row>
    <row r="122" spans="1:23" ht="15.75" customHeight="1">
      <c r="A122" s="120"/>
      <c r="B122" s="64"/>
      <c r="C122" s="51"/>
      <c r="D122" s="51"/>
      <c r="E122" s="51"/>
      <c r="F122" s="51"/>
      <c r="G122" s="64"/>
      <c r="H122" s="51"/>
      <c r="I122" s="117"/>
      <c r="J122" s="51"/>
      <c r="K122" s="51"/>
      <c r="L122" s="117"/>
      <c r="M122" s="51"/>
      <c r="N122" s="21"/>
      <c r="O122" s="65"/>
      <c r="P122" s="65"/>
    </row>
    <row r="123" spans="1:23" ht="15.75" customHeight="1">
      <c r="A123" s="120" t="s">
        <v>522</v>
      </c>
      <c r="B123" s="26">
        <f t="shared" ref="B123:B132" si="4">SUM(C123:P123)</f>
        <v>220</v>
      </c>
      <c r="C123" s="51" t="s">
        <v>374</v>
      </c>
      <c r="D123" s="51" t="s">
        <v>374</v>
      </c>
      <c r="E123" s="51"/>
      <c r="F123" s="51" t="s">
        <v>374</v>
      </c>
      <c r="G123" s="64">
        <f>'c-12'!F12</f>
        <v>220</v>
      </c>
      <c r="H123" s="51" t="s">
        <v>374</v>
      </c>
      <c r="I123" s="51" t="s">
        <v>374</v>
      </c>
      <c r="J123" s="51" t="s">
        <v>374</v>
      </c>
      <c r="K123" s="51" t="s">
        <v>374</v>
      </c>
      <c r="L123" s="117" t="s">
        <v>374</v>
      </c>
      <c r="M123" s="51" t="s">
        <v>374</v>
      </c>
      <c r="N123" s="21" t="s">
        <v>374</v>
      </c>
      <c r="O123" s="65"/>
      <c r="P123" s="65"/>
    </row>
    <row r="124" spans="1:23" ht="15.75" customHeight="1">
      <c r="A124" s="120" t="s">
        <v>156</v>
      </c>
      <c r="B124" s="26">
        <f t="shared" si="4"/>
        <v>162</v>
      </c>
      <c r="C124" s="51" t="s">
        <v>374</v>
      </c>
      <c r="D124" s="51" t="s">
        <v>374</v>
      </c>
      <c r="E124" s="51"/>
      <c r="F124" s="51" t="s">
        <v>374</v>
      </c>
      <c r="G124" s="64">
        <f>'c-12'!F38</f>
        <v>162</v>
      </c>
      <c r="H124" s="51" t="s">
        <v>374</v>
      </c>
      <c r="I124" s="51" t="s">
        <v>374</v>
      </c>
      <c r="J124" s="51" t="s">
        <v>374</v>
      </c>
      <c r="K124" s="51" t="s">
        <v>374</v>
      </c>
      <c r="L124" s="117" t="s">
        <v>374</v>
      </c>
      <c r="M124" s="51" t="s">
        <v>374</v>
      </c>
      <c r="N124" s="21" t="s">
        <v>374</v>
      </c>
      <c r="O124" s="65"/>
      <c r="P124" s="65"/>
    </row>
    <row r="125" spans="1:23" ht="15.75" customHeight="1">
      <c r="A125" s="120" t="s">
        <v>523</v>
      </c>
      <c r="B125" s="26">
        <f t="shared" si="4"/>
        <v>215</v>
      </c>
      <c r="C125" s="51" t="s">
        <v>374</v>
      </c>
      <c r="D125" s="51" t="s">
        <v>374</v>
      </c>
      <c r="E125" s="51"/>
      <c r="F125" s="51" t="s">
        <v>374</v>
      </c>
      <c r="G125" s="64">
        <f>'c-12'!F25</f>
        <v>215</v>
      </c>
      <c r="H125" s="51" t="s">
        <v>374</v>
      </c>
      <c r="I125" s="51" t="s">
        <v>374</v>
      </c>
      <c r="J125" s="51" t="s">
        <v>374</v>
      </c>
      <c r="K125" s="51" t="s">
        <v>374</v>
      </c>
      <c r="L125" s="117" t="s">
        <v>374</v>
      </c>
      <c r="M125" s="51" t="s">
        <v>374</v>
      </c>
      <c r="N125" s="21" t="s">
        <v>374</v>
      </c>
      <c r="O125" s="65"/>
      <c r="P125" s="65"/>
    </row>
    <row r="126" spans="1:23" s="91" customFormat="1" ht="15.75" customHeight="1">
      <c r="A126" s="120" t="s">
        <v>524</v>
      </c>
      <c r="B126" s="26">
        <f t="shared" si="4"/>
        <v>201</v>
      </c>
      <c r="C126" s="51" t="s">
        <v>374</v>
      </c>
      <c r="D126" s="51" t="s">
        <v>374</v>
      </c>
      <c r="E126" s="51" t="s">
        <v>374</v>
      </c>
      <c r="F126" s="51" t="s">
        <v>374</v>
      </c>
      <c r="G126" s="24">
        <f>'c-12'!F15</f>
        <v>201</v>
      </c>
      <c r="H126" s="51" t="s">
        <v>374</v>
      </c>
      <c r="I126" s="51" t="s">
        <v>374</v>
      </c>
      <c r="J126" s="51" t="s">
        <v>374</v>
      </c>
      <c r="K126" s="51" t="s">
        <v>374</v>
      </c>
      <c r="L126" s="51" t="s">
        <v>374</v>
      </c>
      <c r="M126" s="51" t="s">
        <v>374</v>
      </c>
      <c r="N126" s="21" t="s">
        <v>374</v>
      </c>
      <c r="O126" s="65" t="s">
        <v>374</v>
      </c>
      <c r="P126" s="65" t="s">
        <v>374</v>
      </c>
      <c r="V126" s="35"/>
      <c r="W126" s="35"/>
    </row>
    <row r="127" spans="1:23" ht="15.75" customHeight="1">
      <c r="A127" s="120" t="s">
        <v>158</v>
      </c>
      <c r="B127" s="26">
        <f t="shared" si="4"/>
        <v>333</v>
      </c>
      <c r="C127" s="51" t="s">
        <v>374</v>
      </c>
      <c r="D127" s="51" t="s">
        <v>374</v>
      </c>
      <c r="E127" s="51" t="s">
        <v>374</v>
      </c>
      <c r="F127" s="51" t="s">
        <v>374</v>
      </c>
      <c r="G127" s="24">
        <f>'c-12'!F18</f>
        <v>333</v>
      </c>
      <c r="H127" s="51" t="s">
        <v>374</v>
      </c>
      <c r="I127" s="51" t="s">
        <v>374</v>
      </c>
      <c r="J127" s="51" t="s">
        <v>374</v>
      </c>
      <c r="K127" s="51" t="s">
        <v>374</v>
      </c>
      <c r="L127" s="51" t="s">
        <v>374</v>
      </c>
      <c r="M127" s="51" t="s">
        <v>374</v>
      </c>
      <c r="N127" s="21" t="s">
        <v>374</v>
      </c>
      <c r="O127" s="65" t="s">
        <v>374</v>
      </c>
      <c r="P127" s="65" t="s">
        <v>374</v>
      </c>
    </row>
    <row r="128" spans="1:23" ht="15.75" customHeight="1">
      <c r="A128" s="120" t="s">
        <v>159</v>
      </c>
      <c r="B128" s="26">
        <f t="shared" si="4"/>
        <v>294</v>
      </c>
      <c r="C128" s="51" t="s">
        <v>374</v>
      </c>
      <c r="D128" s="51" t="s">
        <v>374</v>
      </c>
      <c r="E128" s="51" t="s">
        <v>374</v>
      </c>
      <c r="F128" s="51" t="s">
        <v>374</v>
      </c>
      <c r="G128" s="24">
        <f>'c-12'!F29</f>
        <v>294</v>
      </c>
      <c r="H128" s="51" t="s">
        <v>374</v>
      </c>
      <c r="I128" s="51" t="s">
        <v>374</v>
      </c>
      <c r="J128" s="51" t="s">
        <v>374</v>
      </c>
      <c r="K128" s="51" t="s">
        <v>374</v>
      </c>
      <c r="L128" s="51" t="s">
        <v>374</v>
      </c>
      <c r="M128" s="51" t="s">
        <v>374</v>
      </c>
      <c r="N128" s="21" t="s">
        <v>374</v>
      </c>
      <c r="O128" s="65" t="s">
        <v>374</v>
      </c>
      <c r="P128" s="65" t="s">
        <v>374</v>
      </c>
    </row>
    <row r="129" spans="1:23" ht="15.75" customHeight="1">
      <c r="A129" s="120" t="s">
        <v>160</v>
      </c>
      <c r="B129" s="26">
        <f t="shared" si="4"/>
        <v>421</v>
      </c>
      <c r="C129" s="51" t="s">
        <v>374</v>
      </c>
      <c r="D129" s="51" t="s">
        <v>374</v>
      </c>
      <c r="E129" s="51" t="s">
        <v>374</v>
      </c>
      <c r="F129" s="51" t="s">
        <v>374</v>
      </c>
      <c r="G129" s="24">
        <f>'c-12'!F32</f>
        <v>421</v>
      </c>
      <c r="H129" s="51" t="s">
        <v>374</v>
      </c>
      <c r="I129" s="51" t="s">
        <v>374</v>
      </c>
      <c r="J129" s="51" t="s">
        <v>374</v>
      </c>
      <c r="K129" s="51" t="s">
        <v>374</v>
      </c>
      <c r="L129" s="51" t="s">
        <v>374</v>
      </c>
      <c r="M129" s="51" t="s">
        <v>374</v>
      </c>
      <c r="N129" s="21" t="s">
        <v>374</v>
      </c>
      <c r="O129" s="65" t="s">
        <v>374</v>
      </c>
      <c r="P129" s="65" t="s">
        <v>374</v>
      </c>
    </row>
    <row r="130" spans="1:23" ht="15.75" customHeight="1">
      <c r="A130" s="116" t="s">
        <v>161</v>
      </c>
      <c r="B130" s="26">
        <f t="shared" si="4"/>
        <v>230</v>
      </c>
      <c r="C130" s="65" t="s">
        <v>374</v>
      </c>
      <c r="D130" s="26" t="s">
        <v>374</v>
      </c>
      <c r="E130" s="65" t="s">
        <v>374</v>
      </c>
      <c r="F130" s="65" t="s">
        <v>374</v>
      </c>
      <c r="G130" s="134">
        <f>'c-12'!F42</f>
        <v>230</v>
      </c>
      <c r="H130" s="65" t="s">
        <v>374</v>
      </c>
      <c r="I130" s="65" t="s">
        <v>374</v>
      </c>
      <c r="J130" s="26" t="s">
        <v>374</v>
      </c>
      <c r="K130" s="65" t="s">
        <v>374</v>
      </c>
      <c r="L130" s="65" t="s">
        <v>374</v>
      </c>
      <c r="M130" s="65" t="s">
        <v>374</v>
      </c>
      <c r="N130" s="65" t="s">
        <v>374</v>
      </c>
      <c r="O130" s="65" t="s">
        <v>374</v>
      </c>
      <c r="P130" s="65" t="s">
        <v>374</v>
      </c>
    </row>
    <row r="131" spans="1:23" ht="15.75" customHeight="1">
      <c r="A131" s="120" t="s">
        <v>162</v>
      </c>
      <c r="B131" s="26">
        <f t="shared" si="4"/>
        <v>244</v>
      </c>
      <c r="C131" s="51" t="s">
        <v>374</v>
      </c>
      <c r="D131" s="51" t="s">
        <v>374</v>
      </c>
      <c r="E131" s="51" t="s">
        <v>374</v>
      </c>
      <c r="F131" s="51" t="s">
        <v>374</v>
      </c>
      <c r="G131" s="24">
        <f>'c-12'!F45</f>
        <v>244</v>
      </c>
      <c r="H131" s="51" t="s">
        <v>374</v>
      </c>
      <c r="I131" s="51" t="s">
        <v>374</v>
      </c>
      <c r="J131" s="51" t="s">
        <v>374</v>
      </c>
      <c r="K131" s="51" t="s">
        <v>374</v>
      </c>
      <c r="L131" s="51" t="s">
        <v>374</v>
      </c>
      <c r="M131" s="51" t="s">
        <v>374</v>
      </c>
      <c r="N131" s="21" t="s">
        <v>374</v>
      </c>
      <c r="O131" s="65" t="s">
        <v>374</v>
      </c>
      <c r="P131" s="65" t="s">
        <v>374</v>
      </c>
    </row>
    <row r="132" spans="1:23" ht="15.75" customHeight="1">
      <c r="A132" s="120" t="s">
        <v>163</v>
      </c>
      <c r="B132" s="26">
        <f t="shared" si="4"/>
        <v>271</v>
      </c>
      <c r="C132" s="51" t="s">
        <v>374</v>
      </c>
      <c r="D132" s="51" t="s">
        <v>374</v>
      </c>
      <c r="E132" s="51" t="s">
        <v>374</v>
      </c>
      <c r="F132" s="51" t="s">
        <v>374</v>
      </c>
      <c r="G132" s="24">
        <f>'c-12'!F48</f>
        <v>271</v>
      </c>
      <c r="H132" s="51" t="s">
        <v>374</v>
      </c>
      <c r="I132" s="51" t="s">
        <v>374</v>
      </c>
      <c r="J132" s="51" t="s">
        <v>374</v>
      </c>
      <c r="K132" s="51" t="s">
        <v>374</v>
      </c>
      <c r="L132" s="51" t="s">
        <v>374</v>
      </c>
      <c r="M132" s="51" t="s">
        <v>374</v>
      </c>
      <c r="N132" s="21" t="s">
        <v>374</v>
      </c>
      <c r="O132" s="65" t="s">
        <v>374</v>
      </c>
      <c r="P132" s="65" t="s">
        <v>374</v>
      </c>
    </row>
    <row r="133" spans="1:23" s="91" customFormat="1" ht="15.75" customHeight="1">
      <c r="A133" s="143"/>
      <c r="B133" s="71"/>
      <c r="C133" s="71"/>
      <c r="D133" s="71"/>
      <c r="E133" s="71"/>
      <c r="F133" s="71"/>
      <c r="G133" s="136"/>
      <c r="H133" s="71"/>
      <c r="I133" s="71"/>
      <c r="J133" s="124"/>
      <c r="K133" s="71"/>
      <c r="L133" s="71"/>
      <c r="M133" s="71"/>
      <c r="N133" s="71"/>
      <c r="O133" s="71"/>
      <c r="P133" s="71"/>
      <c r="V133" s="35"/>
      <c r="W133" s="35"/>
    </row>
    <row r="134" spans="1:23" s="91" customFormat="1" ht="15.75" customHeight="1">
      <c r="A134" s="138"/>
      <c r="B134" s="125"/>
      <c r="C134" s="94"/>
      <c r="D134" s="94"/>
      <c r="E134" s="94"/>
      <c r="F134" s="94"/>
      <c r="G134" s="139"/>
      <c r="H134" s="94"/>
      <c r="I134" s="94"/>
      <c r="J134" s="94"/>
      <c r="K134" s="94"/>
      <c r="L134" s="94"/>
      <c r="M134" s="94"/>
      <c r="N134" s="94"/>
      <c r="O134" s="94"/>
      <c r="P134" s="94"/>
      <c r="V134" s="35"/>
      <c r="W134" s="35"/>
    </row>
    <row r="135" spans="1:23" s="91" customFormat="1" ht="15.75" customHeight="1">
      <c r="A135" s="138"/>
      <c r="B135" s="125"/>
      <c r="C135" s="94"/>
      <c r="D135" s="94"/>
      <c r="E135" s="94"/>
      <c r="F135" s="94"/>
      <c r="G135" s="139"/>
      <c r="H135" s="94"/>
      <c r="I135" s="94"/>
      <c r="J135" s="94"/>
      <c r="K135" s="94"/>
      <c r="L135" s="94"/>
      <c r="M135" s="94"/>
      <c r="N135" s="94"/>
      <c r="O135" s="94"/>
      <c r="P135" s="94"/>
      <c r="V135" s="35"/>
      <c r="W135" s="35"/>
    </row>
    <row r="136" spans="1:23" s="91" customFormat="1" ht="15.75" customHeight="1">
      <c r="A136" s="93" t="s">
        <v>680</v>
      </c>
      <c r="B136" s="146"/>
      <c r="C136" s="126"/>
      <c r="D136" s="126"/>
      <c r="E136" s="126"/>
      <c r="F136" s="126"/>
      <c r="G136" s="126"/>
      <c r="H136" s="126"/>
      <c r="I136" s="126"/>
      <c r="J136" s="126"/>
      <c r="K136" s="126"/>
      <c r="L136" s="126"/>
      <c r="M136" s="126"/>
      <c r="N136" s="126"/>
      <c r="O136" s="127"/>
      <c r="P136" s="127"/>
      <c r="V136" s="35"/>
      <c r="W136" s="35"/>
    </row>
    <row r="137" spans="1:23" ht="15.75" customHeight="1">
      <c r="A137" s="128"/>
      <c r="B137" s="96"/>
      <c r="C137" s="454" t="s">
        <v>222</v>
      </c>
      <c r="D137" s="454"/>
      <c r="E137" s="454"/>
      <c r="F137" s="454"/>
      <c r="G137" s="454"/>
      <c r="H137" s="454"/>
      <c r="I137" s="454"/>
      <c r="J137" s="454"/>
      <c r="K137" s="454"/>
      <c r="L137" s="454"/>
      <c r="M137" s="454"/>
      <c r="N137" s="454"/>
      <c r="O137" s="454"/>
      <c r="P137" s="454"/>
    </row>
    <row r="138" spans="1:23" ht="15.75" customHeight="1">
      <c r="A138" s="58" t="s">
        <v>359</v>
      </c>
      <c r="B138" s="97" t="s">
        <v>221</v>
      </c>
      <c r="C138" s="97" t="s">
        <v>333</v>
      </c>
      <c r="D138" s="97" t="s">
        <v>360</v>
      </c>
      <c r="E138" s="97" t="s">
        <v>361</v>
      </c>
      <c r="F138" s="97" t="s">
        <v>228</v>
      </c>
      <c r="G138" s="97" t="s">
        <v>362</v>
      </c>
      <c r="H138" s="97" t="s">
        <v>231</v>
      </c>
      <c r="I138" s="97" t="s">
        <v>232</v>
      </c>
      <c r="J138" s="97" t="s">
        <v>363</v>
      </c>
      <c r="K138" s="97" t="s">
        <v>235</v>
      </c>
      <c r="L138" s="97" t="s">
        <v>364</v>
      </c>
      <c r="M138" s="97" t="s">
        <v>365</v>
      </c>
      <c r="N138" s="98" t="s">
        <v>366</v>
      </c>
      <c r="O138" s="63" t="s">
        <v>367</v>
      </c>
      <c r="P138" s="63" t="s">
        <v>368</v>
      </c>
    </row>
    <row r="139" spans="1:23" ht="15.75" customHeight="1">
      <c r="A139" s="129"/>
      <c r="B139" s="101"/>
      <c r="C139" s="101"/>
      <c r="D139" s="101"/>
      <c r="E139" s="102" t="s">
        <v>369</v>
      </c>
      <c r="F139" s="102"/>
      <c r="G139" s="102"/>
      <c r="H139" s="101"/>
      <c r="I139" s="102"/>
      <c r="J139" s="102" t="s">
        <v>370</v>
      </c>
      <c r="K139" s="101"/>
      <c r="L139" s="102" t="s">
        <v>371</v>
      </c>
      <c r="M139" s="102" t="s">
        <v>372</v>
      </c>
      <c r="N139" s="103" t="s">
        <v>373</v>
      </c>
      <c r="O139" s="104" t="s">
        <v>370</v>
      </c>
      <c r="P139" s="105"/>
    </row>
    <row r="140" spans="1:23" ht="15.75" customHeight="1">
      <c r="A140" s="120"/>
      <c r="B140" s="64"/>
      <c r="C140" s="51"/>
      <c r="D140" s="51"/>
      <c r="E140" s="51"/>
      <c r="F140" s="51"/>
      <c r="G140" s="24"/>
      <c r="H140" s="51"/>
      <c r="I140" s="51"/>
      <c r="J140" s="51"/>
      <c r="K140" s="51"/>
      <c r="L140" s="51"/>
      <c r="M140" s="51"/>
      <c r="N140" s="21"/>
      <c r="O140" s="65"/>
      <c r="P140" s="65"/>
    </row>
    <row r="141" spans="1:23" ht="15.75" customHeight="1">
      <c r="A141" s="106" t="s">
        <v>164</v>
      </c>
      <c r="B141" s="62">
        <f>SUM(B143:B151)</f>
        <v>17634</v>
      </c>
      <c r="C141" s="97" t="s">
        <v>374</v>
      </c>
      <c r="D141" s="97" t="s">
        <v>374</v>
      </c>
      <c r="E141" s="97" t="s">
        <v>374</v>
      </c>
      <c r="F141" s="97" t="s">
        <v>374</v>
      </c>
      <c r="G141" s="62" t="s">
        <v>374</v>
      </c>
      <c r="H141" s="97">
        <f>SUM(H143:H151)</f>
        <v>17634</v>
      </c>
      <c r="I141" s="97" t="s">
        <v>374</v>
      </c>
      <c r="J141" s="97" t="s">
        <v>374</v>
      </c>
      <c r="K141" s="97" t="s">
        <v>374</v>
      </c>
      <c r="L141" s="97" t="s">
        <v>374</v>
      </c>
      <c r="M141" s="97" t="s">
        <v>374</v>
      </c>
      <c r="N141" s="98" t="s">
        <v>374</v>
      </c>
      <c r="O141" s="112" t="s">
        <v>374</v>
      </c>
      <c r="P141" s="112" t="s">
        <v>374</v>
      </c>
    </row>
    <row r="142" spans="1:23" ht="15.75" customHeight="1">
      <c r="A142" s="120"/>
      <c r="B142" s="64"/>
      <c r="C142" s="51"/>
      <c r="D142" s="51"/>
      <c r="E142" s="51"/>
      <c r="F142" s="51"/>
      <c r="G142" s="26"/>
      <c r="H142" s="117"/>
      <c r="I142" s="51"/>
      <c r="J142" s="51"/>
      <c r="K142" s="51"/>
      <c r="L142" s="117"/>
      <c r="M142" s="51"/>
      <c r="N142" s="21"/>
      <c r="O142" s="65"/>
      <c r="P142" s="65"/>
    </row>
    <row r="143" spans="1:23" ht="15.75" customHeight="1">
      <c r="A143" s="120" t="s">
        <v>165</v>
      </c>
      <c r="B143" s="26">
        <f t="shared" ref="B143:B151" si="5">SUM(C143:P143)</f>
        <v>2985</v>
      </c>
      <c r="C143" s="117" t="s">
        <v>374</v>
      </c>
      <c r="D143" s="117" t="s">
        <v>374</v>
      </c>
      <c r="E143" s="117" t="s">
        <v>374</v>
      </c>
      <c r="F143" s="117" t="s">
        <v>374</v>
      </c>
      <c r="G143" s="64" t="s">
        <v>374</v>
      </c>
      <c r="H143" s="65">
        <f>'c-17'!F12</f>
        <v>2985</v>
      </c>
      <c r="I143" s="64" t="s">
        <v>374</v>
      </c>
      <c r="J143" s="117" t="s">
        <v>374</v>
      </c>
      <c r="K143" s="117" t="s">
        <v>374</v>
      </c>
      <c r="L143" s="117" t="s">
        <v>374</v>
      </c>
      <c r="M143" s="117" t="s">
        <v>374</v>
      </c>
      <c r="N143" s="118" t="s">
        <v>374</v>
      </c>
      <c r="O143" s="65" t="s">
        <v>374</v>
      </c>
      <c r="P143" s="65" t="s">
        <v>374</v>
      </c>
    </row>
    <row r="144" spans="1:23" ht="15.75" customHeight="1">
      <c r="A144" s="120" t="s">
        <v>526</v>
      </c>
      <c r="B144" s="26">
        <f t="shared" si="5"/>
        <v>2107</v>
      </c>
      <c r="C144" s="117" t="s">
        <v>374</v>
      </c>
      <c r="D144" s="117" t="s">
        <v>374</v>
      </c>
      <c r="E144" s="117" t="s">
        <v>374</v>
      </c>
      <c r="F144" s="117" t="s">
        <v>374</v>
      </c>
      <c r="G144" s="64" t="s">
        <v>374</v>
      </c>
      <c r="H144" s="65">
        <f>'c-17'!F22</f>
        <v>2107</v>
      </c>
      <c r="I144" s="64" t="s">
        <v>374</v>
      </c>
      <c r="J144" s="117" t="s">
        <v>374</v>
      </c>
      <c r="K144" s="117" t="s">
        <v>374</v>
      </c>
      <c r="L144" s="117" t="s">
        <v>374</v>
      </c>
      <c r="M144" s="117" t="s">
        <v>374</v>
      </c>
      <c r="N144" s="118" t="s">
        <v>374</v>
      </c>
      <c r="O144" s="65" t="s">
        <v>374</v>
      </c>
      <c r="P144" s="65" t="s">
        <v>374</v>
      </c>
    </row>
    <row r="145" spans="1:23" ht="15.75" customHeight="1">
      <c r="A145" s="120" t="s">
        <v>166</v>
      </c>
      <c r="B145" s="26">
        <f t="shared" si="5"/>
        <v>2735</v>
      </c>
      <c r="C145" s="117" t="s">
        <v>374</v>
      </c>
      <c r="D145" s="117" t="s">
        <v>374</v>
      </c>
      <c r="E145" s="117" t="s">
        <v>374</v>
      </c>
      <c r="F145" s="117" t="s">
        <v>374</v>
      </c>
      <c r="G145" s="64" t="s">
        <v>374</v>
      </c>
      <c r="H145" s="65">
        <f>'c-17'!F23</f>
        <v>2735</v>
      </c>
      <c r="I145" s="416" t="s">
        <v>374</v>
      </c>
      <c r="J145" s="117" t="s">
        <v>374</v>
      </c>
      <c r="K145" s="117" t="s">
        <v>374</v>
      </c>
      <c r="L145" s="117" t="s">
        <v>374</v>
      </c>
      <c r="M145" s="117" t="s">
        <v>374</v>
      </c>
      <c r="N145" s="118" t="s">
        <v>374</v>
      </c>
      <c r="O145" s="65" t="s">
        <v>374</v>
      </c>
      <c r="P145" s="65" t="s">
        <v>374</v>
      </c>
    </row>
    <row r="146" spans="1:23" ht="15.75" customHeight="1">
      <c r="A146" s="120" t="s">
        <v>167</v>
      </c>
      <c r="B146" s="26">
        <f t="shared" si="5"/>
        <v>1504</v>
      </c>
      <c r="C146" s="117" t="s">
        <v>374</v>
      </c>
      <c r="D146" s="117" t="s">
        <v>374</v>
      </c>
      <c r="E146" s="117" t="s">
        <v>374</v>
      </c>
      <c r="F146" s="117" t="s">
        <v>374</v>
      </c>
      <c r="G146" s="118" t="s">
        <v>374</v>
      </c>
      <c r="H146" s="24">
        <f>'c-17'!F37</f>
        <v>1504</v>
      </c>
      <c r="I146" s="117" t="s">
        <v>374</v>
      </c>
      <c r="J146" s="117" t="s">
        <v>374</v>
      </c>
      <c r="K146" s="117" t="s">
        <v>374</v>
      </c>
      <c r="L146" s="117" t="s">
        <v>374</v>
      </c>
      <c r="M146" s="117" t="s">
        <v>374</v>
      </c>
      <c r="N146" s="118" t="s">
        <v>374</v>
      </c>
      <c r="O146" s="65" t="s">
        <v>374</v>
      </c>
      <c r="P146" s="65" t="s">
        <v>374</v>
      </c>
    </row>
    <row r="147" spans="1:23" ht="15.75" customHeight="1">
      <c r="A147" s="120" t="s">
        <v>168</v>
      </c>
      <c r="B147" s="26">
        <f t="shared" si="5"/>
        <v>1137</v>
      </c>
      <c r="C147" s="117" t="s">
        <v>374</v>
      </c>
      <c r="D147" s="117" t="s">
        <v>374</v>
      </c>
      <c r="E147" s="117" t="s">
        <v>374</v>
      </c>
      <c r="F147" s="117" t="s">
        <v>374</v>
      </c>
      <c r="G147" s="118" t="s">
        <v>374</v>
      </c>
      <c r="H147" s="24">
        <f>'c-17'!F64</f>
        <v>1137</v>
      </c>
      <c r="I147" s="117" t="s">
        <v>374</v>
      </c>
      <c r="J147" s="117" t="s">
        <v>374</v>
      </c>
      <c r="K147" s="117" t="s">
        <v>374</v>
      </c>
      <c r="L147" s="117" t="s">
        <v>374</v>
      </c>
      <c r="M147" s="117" t="s">
        <v>374</v>
      </c>
      <c r="N147" s="118" t="s">
        <v>374</v>
      </c>
      <c r="O147" s="65" t="s">
        <v>374</v>
      </c>
      <c r="P147" s="65" t="s">
        <v>374</v>
      </c>
    </row>
    <row r="148" spans="1:23" ht="15.75" customHeight="1">
      <c r="A148" s="120" t="s">
        <v>169</v>
      </c>
      <c r="B148" s="26">
        <f t="shared" si="5"/>
        <v>1537</v>
      </c>
      <c r="C148" s="117" t="s">
        <v>374</v>
      </c>
      <c r="D148" s="117" t="s">
        <v>374</v>
      </c>
      <c r="E148" s="117" t="s">
        <v>374</v>
      </c>
      <c r="F148" s="117" t="s">
        <v>374</v>
      </c>
      <c r="G148" s="118" t="s">
        <v>374</v>
      </c>
      <c r="H148" s="24">
        <f>'c-17'!F75</f>
        <v>1537</v>
      </c>
      <c r="I148" s="117" t="s">
        <v>374</v>
      </c>
      <c r="J148" s="117" t="s">
        <v>374</v>
      </c>
      <c r="K148" s="117" t="s">
        <v>374</v>
      </c>
      <c r="L148" s="117" t="s">
        <v>374</v>
      </c>
      <c r="M148" s="117" t="s">
        <v>374</v>
      </c>
      <c r="N148" s="118" t="s">
        <v>374</v>
      </c>
      <c r="O148" s="65" t="s">
        <v>374</v>
      </c>
      <c r="P148" s="65" t="s">
        <v>374</v>
      </c>
    </row>
    <row r="149" spans="1:23" ht="15.75" customHeight="1">
      <c r="A149" s="120" t="s">
        <v>427</v>
      </c>
      <c r="B149" s="26">
        <f t="shared" si="5"/>
        <v>2120</v>
      </c>
      <c r="C149" s="117" t="s">
        <v>374</v>
      </c>
      <c r="D149" s="117" t="s">
        <v>374</v>
      </c>
      <c r="E149" s="117" t="s">
        <v>374</v>
      </c>
      <c r="F149" s="117" t="s">
        <v>374</v>
      </c>
      <c r="G149" s="118" t="s">
        <v>374</v>
      </c>
      <c r="H149" s="24">
        <f>'c-17'!F104</f>
        <v>2120</v>
      </c>
      <c r="I149" s="117" t="s">
        <v>374</v>
      </c>
      <c r="J149" s="117" t="s">
        <v>374</v>
      </c>
      <c r="K149" s="117" t="s">
        <v>374</v>
      </c>
      <c r="L149" s="117" t="s">
        <v>374</v>
      </c>
      <c r="M149" s="117" t="s">
        <v>374</v>
      </c>
      <c r="N149" s="118" t="s">
        <v>374</v>
      </c>
      <c r="O149" s="65" t="s">
        <v>374</v>
      </c>
      <c r="P149" s="65" t="s">
        <v>374</v>
      </c>
    </row>
    <row r="150" spans="1:23" ht="15.75" customHeight="1">
      <c r="A150" s="120" t="s">
        <v>170</v>
      </c>
      <c r="B150" s="26">
        <f t="shared" si="5"/>
        <v>1966</v>
      </c>
      <c r="C150" s="117" t="s">
        <v>374</v>
      </c>
      <c r="D150" s="117" t="s">
        <v>374</v>
      </c>
      <c r="E150" s="117" t="s">
        <v>374</v>
      </c>
      <c r="F150" s="117" t="s">
        <v>374</v>
      </c>
      <c r="G150" s="118" t="s">
        <v>374</v>
      </c>
      <c r="H150" s="24">
        <f>'c-17'!F132</f>
        <v>1966</v>
      </c>
      <c r="I150" s="117" t="s">
        <v>374</v>
      </c>
      <c r="J150" s="117" t="s">
        <v>374</v>
      </c>
      <c r="K150" s="117" t="s">
        <v>374</v>
      </c>
      <c r="L150" s="117" t="s">
        <v>374</v>
      </c>
      <c r="M150" s="117" t="s">
        <v>374</v>
      </c>
      <c r="N150" s="118" t="s">
        <v>374</v>
      </c>
      <c r="O150" s="65" t="s">
        <v>374</v>
      </c>
      <c r="P150" s="65" t="s">
        <v>374</v>
      </c>
    </row>
    <row r="151" spans="1:23" ht="15.75" customHeight="1">
      <c r="A151" s="120" t="s">
        <v>171</v>
      </c>
      <c r="B151" s="26">
        <f t="shared" si="5"/>
        <v>1543</v>
      </c>
      <c r="C151" s="117" t="s">
        <v>374</v>
      </c>
      <c r="D151" s="117" t="s">
        <v>374</v>
      </c>
      <c r="E151" s="117" t="s">
        <v>374</v>
      </c>
      <c r="F151" s="117" t="s">
        <v>374</v>
      </c>
      <c r="G151" s="118" t="s">
        <v>374</v>
      </c>
      <c r="H151" s="24">
        <f>'c-17'!F138</f>
        <v>1543</v>
      </c>
      <c r="I151" s="117" t="s">
        <v>374</v>
      </c>
      <c r="J151" s="117" t="s">
        <v>374</v>
      </c>
      <c r="K151" s="117" t="s">
        <v>374</v>
      </c>
      <c r="L151" s="117" t="s">
        <v>374</v>
      </c>
      <c r="M151" s="117" t="s">
        <v>374</v>
      </c>
      <c r="N151" s="118" t="s">
        <v>374</v>
      </c>
      <c r="O151" s="65" t="s">
        <v>374</v>
      </c>
      <c r="P151" s="65" t="s">
        <v>374</v>
      </c>
    </row>
    <row r="152" spans="1:23" ht="15.75" customHeight="1">
      <c r="A152" s="131" t="s">
        <v>172</v>
      </c>
      <c r="B152" s="26"/>
      <c r="C152" s="51"/>
      <c r="D152" s="51"/>
      <c r="E152" s="51"/>
      <c r="F152" s="51"/>
      <c r="G152" s="51"/>
      <c r="H152" s="51"/>
      <c r="I152" s="51"/>
      <c r="J152" s="51"/>
      <c r="K152" s="51"/>
      <c r="L152" s="117"/>
      <c r="M152" s="51"/>
      <c r="N152" s="21"/>
      <c r="O152" s="19"/>
      <c r="P152" s="19"/>
    </row>
    <row r="153" spans="1:23" ht="15.75" customHeight="1">
      <c r="A153" s="106" t="s">
        <v>527</v>
      </c>
      <c r="B153" s="62">
        <f>SUM(B155:B192)</f>
        <v>116465</v>
      </c>
      <c r="C153" s="97" t="s">
        <v>374</v>
      </c>
      <c r="D153" s="97" t="s">
        <v>374</v>
      </c>
      <c r="E153" s="97" t="s">
        <v>374</v>
      </c>
      <c r="F153" s="97" t="s">
        <v>374</v>
      </c>
      <c r="G153" s="97" t="s">
        <v>374</v>
      </c>
      <c r="H153" s="97" t="s">
        <v>374</v>
      </c>
      <c r="I153" s="62">
        <f>SUM(I155:I192)</f>
        <v>116465</v>
      </c>
      <c r="J153" s="97" t="s">
        <v>374</v>
      </c>
      <c r="K153" s="97" t="s">
        <v>374</v>
      </c>
      <c r="L153" s="97" t="s">
        <v>374</v>
      </c>
      <c r="M153" s="97" t="s">
        <v>374</v>
      </c>
      <c r="N153" s="98" t="s">
        <v>374</v>
      </c>
      <c r="O153" s="112" t="s">
        <v>374</v>
      </c>
      <c r="P153" s="112" t="s">
        <v>374</v>
      </c>
    </row>
    <row r="154" spans="1:23" ht="15.75" customHeight="1">
      <c r="A154" s="120"/>
      <c r="B154" s="64"/>
      <c r="C154" s="51"/>
      <c r="D154" s="51"/>
      <c r="E154" s="51"/>
      <c r="F154" s="51"/>
      <c r="G154" s="51"/>
      <c r="H154" s="51"/>
      <c r="I154" s="64"/>
      <c r="J154" s="51"/>
      <c r="K154" s="51"/>
      <c r="L154" s="117"/>
      <c r="M154" s="51"/>
      <c r="N154" s="21"/>
      <c r="O154" s="65"/>
      <c r="P154" s="65"/>
      <c r="V154" s="91"/>
      <c r="W154" s="91"/>
    </row>
    <row r="155" spans="1:23" ht="15.75" customHeight="1">
      <c r="A155" s="120" t="s">
        <v>891</v>
      </c>
      <c r="B155" s="26">
        <f t="shared" ref="B155:B192" si="6">SUM(C155:P155)</f>
        <v>12582</v>
      </c>
      <c r="C155" s="117" t="s">
        <v>374</v>
      </c>
      <c r="D155" s="117" t="s">
        <v>374</v>
      </c>
      <c r="E155" s="117" t="s">
        <v>374</v>
      </c>
      <c r="F155" s="117" t="s">
        <v>374</v>
      </c>
      <c r="G155" s="117" t="s">
        <v>374</v>
      </c>
      <c r="H155" s="117" t="s">
        <v>374</v>
      </c>
      <c r="I155" s="24">
        <f>'c-19'!F12</f>
        <v>12582</v>
      </c>
      <c r="J155" s="117" t="s">
        <v>374</v>
      </c>
      <c r="K155" s="117" t="s">
        <v>374</v>
      </c>
      <c r="L155" s="117" t="s">
        <v>374</v>
      </c>
      <c r="M155" s="117" t="s">
        <v>374</v>
      </c>
      <c r="N155" s="118" t="s">
        <v>374</v>
      </c>
      <c r="O155" s="65" t="s">
        <v>374</v>
      </c>
      <c r="P155" s="65" t="s">
        <v>374</v>
      </c>
    </row>
    <row r="156" spans="1:23" ht="15.75" customHeight="1">
      <c r="A156" s="131" t="s">
        <v>893</v>
      </c>
      <c r="B156" s="26">
        <f t="shared" si="6"/>
        <v>3010</v>
      </c>
      <c r="C156" s="117" t="s">
        <v>374</v>
      </c>
      <c r="D156" s="117" t="s">
        <v>374</v>
      </c>
      <c r="E156" s="117" t="s">
        <v>374</v>
      </c>
      <c r="F156" s="117" t="s">
        <v>374</v>
      </c>
      <c r="G156" s="117" t="s">
        <v>374</v>
      </c>
      <c r="H156" s="117" t="s">
        <v>374</v>
      </c>
      <c r="I156" s="24">
        <f>'c-19'!F19</f>
        <v>3010</v>
      </c>
      <c r="J156" s="117" t="s">
        <v>374</v>
      </c>
      <c r="K156" s="117" t="s">
        <v>374</v>
      </c>
      <c r="L156" s="117" t="s">
        <v>374</v>
      </c>
      <c r="M156" s="117" t="s">
        <v>374</v>
      </c>
      <c r="N156" s="118" t="s">
        <v>374</v>
      </c>
      <c r="O156" s="65" t="s">
        <v>374</v>
      </c>
      <c r="P156" s="65" t="s">
        <v>374</v>
      </c>
    </row>
    <row r="157" spans="1:23" ht="15.75" customHeight="1">
      <c r="A157" s="120" t="s">
        <v>425</v>
      </c>
      <c r="B157" s="26">
        <f t="shared" si="6"/>
        <v>5007</v>
      </c>
      <c r="C157" s="117" t="s">
        <v>374</v>
      </c>
      <c r="D157" s="117" t="s">
        <v>374</v>
      </c>
      <c r="E157" s="117" t="s">
        <v>374</v>
      </c>
      <c r="F157" s="117" t="s">
        <v>374</v>
      </c>
      <c r="G157" s="117" t="s">
        <v>374</v>
      </c>
      <c r="H157" s="117" t="s">
        <v>374</v>
      </c>
      <c r="I157" s="24">
        <f>'c-19'!F20</f>
        <v>5007</v>
      </c>
      <c r="J157" s="117" t="s">
        <v>374</v>
      </c>
      <c r="K157" s="117" t="s">
        <v>374</v>
      </c>
      <c r="L157" s="117" t="s">
        <v>374</v>
      </c>
      <c r="M157" s="117" t="s">
        <v>374</v>
      </c>
      <c r="N157" s="118" t="s">
        <v>374</v>
      </c>
      <c r="O157" s="65" t="s">
        <v>374</v>
      </c>
      <c r="P157" s="65" t="s">
        <v>374</v>
      </c>
    </row>
    <row r="158" spans="1:23" ht="15.75" customHeight="1">
      <c r="A158" s="120" t="s">
        <v>173</v>
      </c>
      <c r="B158" s="26">
        <f t="shared" si="6"/>
        <v>3868</v>
      </c>
      <c r="C158" s="117" t="s">
        <v>374</v>
      </c>
      <c r="D158" s="117" t="s">
        <v>374</v>
      </c>
      <c r="E158" s="117" t="s">
        <v>374</v>
      </c>
      <c r="F158" s="117" t="s">
        <v>374</v>
      </c>
      <c r="G158" s="117" t="s">
        <v>374</v>
      </c>
      <c r="H158" s="117" t="s">
        <v>374</v>
      </c>
      <c r="I158" s="24">
        <f>'c-19'!F21</f>
        <v>3868</v>
      </c>
      <c r="J158" s="117" t="s">
        <v>374</v>
      </c>
      <c r="K158" s="117" t="s">
        <v>374</v>
      </c>
      <c r="L158" s="117" t="s">
        <v>374</v>
      </c>
      <c r="M158" s="117" t="s">
        <v>374</v>
      </c>
      <c r="N158" s="118" t="s">
        <v>374</v>
      </c>
      <c r="O158" s="65" t="s">
        <v>374</v>
      </c>
      <c r="P158" s="65" t="s">
        <v>374</v>
      </c>
      <c r="V158" s="91"/>
      <c r="W158" s="91"/>
    </row>
    <row r="159" spans="1:23" ht="15.75" customHeight="1">
      <c r="A159" s="120" t="s">
        <v>174</v>
      </c>
      <c r="B159" s="26">
        <f t="shared" si="6"/>
        <v>1123</v>
      </c>
      <c r="C159" s="117" t="s">
        <v>374</v>
      </c>
      <c r="D159" s="117" t="s">
        <v>374</v>
      </c>
      <c r="E159" s="117" t="s">
        <v>374</v>
      </c>
      <c r="F159" s="117" t="s">
        <v>374</v>
      </c>
      <c r="G159" s="117" t="s">
        <v>374</v>
      </c>
      <c r="H159" s="117" t="s">
        <v>374</v>
      </c>
      <c r="I159" s="24">
        <f>'c-19'!F13</f>
        <v>1123</v>
      </c>
      <c r="J159" s="117" t="s">
        <v>374</v>
      </c>
      <c r="K159" s="117" t="s">
        <v>374</v>
      </c>
      <c r="L159" s="117" t="s">
        <v>374</v>
      </c>
      <c r="M159" s="117" t="s">
        <v>374</v>
      </c>
      <c r="N159" s="118" t="s">
        <v>374</v>
      </c>
      <c r="O159" s="65" t="s">
        <v>374</v>
      </c>
      <c r="P159" s="65" t="s">
        <v>374</v>
      </c>
    </row>
    <row r="160" spans="1:23" ht="15.75" customHeight="1">
      <c r="A160" s="120" t="s">
        <v>468</v>
      </c>
      <c r="B160" s="26">
        <f t="shared" si="6"/>
        <v>10084</v>
      </c>
      <c r="C160" s="117" t="s">
        <v>374</v>
      </c>
      <c r="D160" s="117" t="s">
        <v>374</v>
      </c>
      <c r="E160" s="117" t="s">
        <v>374</v>
      </c>
      <c r="F160" s="117" t="s">
        <v>374</v>
      </c>
      <c r="G160" s="117" t="s">
        <v>374</v>
      </c>
      <c r="H160" s="117" t="s">
        <v>374</v>
      </c>
      <c r="I160" s="24">
        <f>'c-19'!F16</f>
        <v>10084</v>
      </c>
      <c r="J160" s="117" t="s">
        <v>374</v>
      </c>
      <c r="K160" s="117" t="s">
        <v>374</v>
      </c>
      <c r="L160" s="117" t="s">
        <v>374</v>
      </c>
      <c r="M160" s="117" t="s">
        <v>374</v>
      </c>
      <c r="N160" s="118" t="s">
        <v>374</v>
      </c>
      <c r="O160" s="65" t="s">
        <v>374</v>
      </c>
      <c r="P160" s="65" t="s">
        <v>374</v>
      </c>
    </row>
    <row r="161" spans="1:16" ht="15.75" customHeight="1">
      <c r="A161" s="120" t="s">
        <v>175</v>
      </c>
      <c r="B161" s="26">
        <f t="shared" si="6"/>
        <v>3348</v>
      </c>
      <c r="C161" s="117" t="s">
        <v>374</v>
      </c>
      <c r="D161" s="117" t="s">
        <v>374</v>
      </c>
      <c r="E161" s="117" t="s">
        <v>374</v>
      </c>
      <c r="F161" s="117" t="s">
        <v>374</v>
      </c>
      <c r="G161" s="117" t="s">
        <v>374</v>
      </c>
      <c r="H161" s="117" t="s">
        <v>374</v>
      </c>
      <c r="I161" s="24">
        <f>'c-19'!F62</f>
        <v>3348</v>
      </c>
      <c r="J161" s="117" t="s">
        <v>374</v>
      </c>
      <c r="K161" s="117" t="s">
        <v>374</v>
      </c>
      <c r="L161" s="117" t="s">
        <v>374</v>
      </c>
      <c r="M161" s="117" t="s">
        <v>374</v>
      </c>
      <c r="N161" s="118" t="s">
        <v>374</v>
      </c>
      <c r="O161" s="65" t="s">
        <v>374</v>
      </c>
      <c r="P161" s="65" t="s">
        <v>374</v>
      </c>
    </row>
    <row r="162" spans="1:16" ht="15.75" customHeight="1">
      <c r="A162" s="120" t="s">
        <v>450</v>
      </c>
      <c r="B162" s="26">
        <f t="shared" si="6"/>
        <v>8302</v>
      </c>
      <c r="C162" s="117" t="s">
        <v>374</v>
      </c>
      <c r="D162" s="117" t="s">
        <v>374</v>
      </c>
      <c r="E162" s="117" t="s">
        <v>374</v>
      </c>
      <c r="F162" s="117" t="s">
        <v>374</v>
      </c>
      <c r="G162" s="117" t="s">
        <v>374</v>
      </c>
      <c r="H162" s="117" t="s">
        <v>374</v>
      </c>
      <c r="I162" s="24">
        <f>'c-19'!F24</f>
        <v>8302</v>
      </c>
      <c r="J162" s="117" t="s">
        <v>374</v>
      </c>
      <c r="K162" s="117" t="s">
        <v>374</v>
      </c>
      <c r="L162" s="117" t="s">
        <v>374</v>
      </c>
      <c r="M162" s="117" t="s">
        <v>374</v>
      </c>
      <c r="N162" s="118" t="s">
        <v>374</v>
      </c>
      <c r="O162" s="65" t="s">
        <v>374</v>
      </c>
      <c r="P162" s="65" t="s">
        <v>374</v>
      </c>
    </row>
    <row r="163" spans="1:16" ht="15.75" customHeight="1">
      <c r="A163" s="120" t="s">
        <v>176</v>
      </c>
      <c r="B163" s="26">
        <f t="shared" si="6"/>
        <v>1097</v>
      </c>
      <c r="C163" s="117" t="s">
        <v>374</v>
      </c>
      <c r="D163" s="117" t="s">
        <v>374</v>
      </c>
      <c r="E163" s="117" t="s">
        <v>374</v>
      </c>
      <c r="F163" s="117" t="s">
        <v>374</v>
      </c>
      <c r="G163" s="117" t="s">
        <v>374</v>
      </c>
      <c r="H163" s="117" t="s">
        <v>374</v>
      </c>
      <c r="I163" s="24">
        <f>'c-19'!F25</f>
        <v>1097</v>
      </c>
      <c r="J163" s="117" t="s">
        <v>374</v>
      </c>
      <c r="K163" s="117" t="s">
        <v>374</v>
      </c>
      <c r="L163" s="117" t="s">
        <v>374</v>
      </c>
      <c r="M163" s="117" t="s">
        <v>374</v>
      </c>
      <c r="N163" s="118" t="s">
        <v>374</v>
      </c>
      <c r="O163" s="65" t="s">
        <v>374</v>
      </c>
      <c r="P163" s="65" t="s">
        <v>374</v>
      </c>
    </row>
    <row r="164" spans="1:16" ht="15.75" customHeight="1">
      <c r="A164" s="120" t="s">
        <v>177</v>
      </c>
      <c r="B164" s="26">
        <f t="shared" si="6"/>
        <v>1794</v>
      </c>
      <c r="C164" s="117" t="s">
        <v>374</v>
      </c>
      <c r="D164" s="117" t="s">
        <v>374</v>
      </c>
      <c r="E164" s="117" t="s">
        <v>374</v>
      </c>
      <c r="F164" s="117" t="s">
        <v>374</v>
      </c>
      <c r="G164" s="117" t="s">
        <v>374</v>
      </c>
      <c r="H164" s="117" t="s">
        <v>374</v>
      </c>
      <c r="I164" s="24">
        <f>'c-19'!F34</f>
        <v>1794</v>
      </c>
      <c r="J164" s="117" t="s">
        <v>374</v>
      </c>
      <c r="K164" s="117" t="s">
        <v>374</v>
      </c>
      <c r="L164" s="117" t="s">
        <v>374</v>
      </c>
      <c r="M164" s="117" t="s">
        <v>374</v>
      </c>
      <c r="N164" s="118" t="s">
        <v>374</v>
      </c>
      <c r="O164" s="65" t="s">
        <v>374</v>
      </c>
      <c r="P164" s="65" t="s">
        <v>374</v>
      </c>
    </row>
    <row r="165" spans="1:16" ht="15.75" customHeight="1">
      <c r="A165" s="120" t="s">
        <v>178</v>
      </c>
      <c r="B165" s="26">
        <f t="shared" si="6"/>
        <v>1837</v>
      </c>
      <c r="C165" s="117" t="s">
        <v>374</v>
      </c>
      <c r="D165" s="117" t="s">
        <v>374</v>
      </c>
      <c r="E165" s="117" t="s">
        <v>374</v>
      </c>
      <c r="F165" s="117" t="s">
        <v>374</v>
      </c>
      <c r="G165" s="117" t="s">
        <v>374</v>
      </c>
      <c r="H165" s="117" t="s">
        <v>374</v>
      </c>
      <c r="I165" s="24">
        <f>'c-19'!F35</f>
        <v>1837</v>
      </c>
      <c r="J165" s="117" t="s">
        <v>374</v>
      </c>
      <c r="K165" s="117" t="s">
        <v>374</v>
      </c>
      <c r="L165" s="117" t="s">
        <v>374</v>
      </c>
      <c r="M165" s="117" t="s">
        <v>374</v>
      </c>
      <c r="N165" s="118" t="s">
        <v>374</v>
      </c>
      <c r="O165" s="65" t="s">
        <v>374</v>
      </c>
      <c r="P165" s="65" t="s">
        <v>374</v>
      </c>
    </row>
    <row r="166" spans="1:16" ht="15.75" customHeight="1">
      <c r="A166" s="120" t="s">
        <v>179</v>
      </c>
      <c r="B166" s="26">
        <f t="shared" si="6"/>
        <v>3132</v>
      </c>
      <c r="C166" s="117" t="s">
        <v>374</v>
      </c>
      <c r="D166" s="117" t="s">
        <v>374</v>
      </c>
      <c r="E166" s="117" t="s">
        <v>374</v>
      </c>
      <c r="F166" s="117" t="s">
        <v>374</v>
      </c>
      <c r="G166" s="117" t="s">
        <v>374</v>
      </c>
      <c r="H166" s="117" t="s">
        <v>374</v>
      </c>
      <c r="I166" s="24">
        <f>'c-19'!F28</f>
        <v>3132</v>
      </c>
      <c r="J166" s="117" t="s">
        <v>374</v>
      </c>
      <c r="K166" s="117" t="s">
        <v>374</v>
      </c>
      <c r="L166" s="117" t="s">
        <v>374</v>
      </c>
      <c r="M166" s="117" t="s">
        <v>374</v>
      </c>
      <c r="N166" s="118" t="s">
        <v>374</v>
      </c>
      <c r="O166" s="65" t="s">
        <v>374</v>
      </c>
      <c r="P166" s="65" t="s">
        <v>374</v>
      </c>
    </row>
    <row r="167" spans="1:16" ht="15.75" customHeight="1">
      <c r="A167" s="120" t="s">
        <v>180</v>
      </c>
      <c r="B167" s="26">
        <f t="shared" si="6"/>
        <v>559</v>
      </c>
      <c r="C167" s="117" t="s">
        <v>374</v>
      </c>
      <c r="D167" s="117" t="s">
        <v>374</v>
      </c>
      <c r="E167" s="117" t="s">
        <v>374</v>
      </c>
      <c r="F167" s="117" t="s">
        <v>374</v>
      </c>
      <c r="G167" s="117" t="s">
        <v>374</v>
      </c>
      <c r="H167" s="117" t="s">
        <v>374</v>
      </c>
      <c r="I167" s="24">
        <f>'c-19'!F30</f>
        <v>559</v>
      </c>
      <c r="J167" s="117" t="s">
        <v>374</v>
      </c>
      <c r="K167" s="117" t="s">
        <v>374</v>
      </c>
      <c r="L167" s="117" t="s">
        <v>374</v>
      </c>
      <c r="M167" s="117" t="s">
        <v>374</v>
      </c>
      <c r="N167" s="118" t="s">
        <v>374</v>
      </c>
      <c r="O167" s="65" t="s">
        <v>374</v>
      </c>
      <c r="P167" s="65" t="s">
        <v>374</v>
      </c>
    </row>
    <row r="168" spans="1:16" ht="15.75" customHeight="1">
      <c r="A168" s="131" t="s">
        <v>681</v>
      </c>
      <c r="B168" s="26">
        <f t="shared" si="6"/>
        <v>1379</v>
      </c>
      <c r="C168" s="117" t="s">
        <v>374</v>
      </c>
      <c r="D168" s="117" t="s">
        <v>374</v>
      </c>
      <c r="E168" s="117" t="s">
        <v>374</v>
      </c>
      <c r="F168" s="117" t="s">
        <v>374</v>
      </c>
      <c r="G168" s="117" t="s">
        <v>374</v>
      </c>
      <c r="H168" s="117" t="s">
        <v>374</v>
      </c>
      <c r="I168" s="24">
        <f>'c-19'!F29</f>
        <v>1379</v>
      </c>
      <c r="J168" s="117" t="s">
        <v>374</v>
      </c>
      <c r="K168" s="117" t="s">
        <v>374</v>
      </c>
      <c r="L168" s="117" t="s">
        <v>374</v>
      </c>
      <c r="M168" s="117" t="s">
        <v>374</v>
      </c>
      <c r="N168" s="118" t="s">
        <v>374</v>
      </c>
      <c r="O168" s="65" t="s">
        <v>374</v>
      </c>
      <c r="P168" s="65" t="s">
        <v>374</v>
      </c>
    </row>
    <row r="169" spans="1:16" ht="15.75" customHeight="1">
      <c r="A169" s="131" t="s">
        <v>682</v>
      </c>
      <c r="B169" s="26">
        <f t="shared" si="6"/>
        <v>553</v>
      </c>
      <c r="C169" s="117" t="s">
        <v>374</v>
      </c>
      <c r="D169" s="117" t="s">
        <v>374</v>
      </c>
      <c r="E169" s="117" t="s">
        <v>374</v>
      </c>
      <c r="F169" s="117" t="s">
        <v>374</v>
      </c>
      <c r="G169" s="117" t="s">
        <v>374</v>
      </c>
      <c r="H169" s="117" t="s">
        <v>374</v>
      </c>
      <c r="I169" s="24">
        <f>'c-19'!F31</f>
        <v>553</v>
      </c>
      <c r="J169" s="117" t="s">
        <v>374</v>
      </c>
      <c r="K169" s="117" t="s">
        <v>374</v>
      </c>
      <c r="L169" s="117" t="s">
        <v>374</v>
      </c>
      <c r="M169" s="117" t="s">
        <v>374</v>
      </c>
      <c r="N169" s="118" t="s">
        <v>374</v>
      </c>
      <c r="O169" s="65" t="s">
        <v>374</v>
      </c>
      <c r="P169" s="65" t="s">
        <v>374</v>
      </c>
    </row>
    <row r="170" spans="1:16" ht="15.75" customHeight="1">
      <c r="A170" s="131" t="s">
        <v>157</v>
      </c>
      <c r="B170" s="26">
        <f t="shared" si="6"/>
        <v>6555</v>
      </c>
      <c r="C170" s="117" t="s">
        <v>374</v>
      </c>
      <c r="D170" s="117" t="s">
        <v>374</v>
      </c>
      <c r="E170" s="117" t="s">
        <v>374</v>
      </c>
      <c r="F170" s="117" t="s">
        <v>374</v>
      </c>
      <c r="G170" s="117" t="s">
        <v>374</v>
      </c>
      <c r="H170" s="117" t="s">
        <v>374</v>
      </c>
      <c r="I170" s="24">
        <f>'c-19'!F38</f>
        <v>6555</v>
      </c>
      <c r="J170" s="117" t="s">
        <v>374</v>
      </c>
      <c r="K170" s="117" t="s">
        <v>374</v>
      </c>
      <c r="L170" s="117" t="s">
        <v>374</v>
      </c>
      <c r="M170" s="117" t="s">
        <v>374</v>
      </c>
      <c r="N170" s="118" t="s">
        <v>374</v>
      </c>
      <c r="O170" s="65" t="s">
        <v>374</v>
      </c>
      <c r="P170" s="65" t="s">
        <v>374</v>
      </c>
    </row>
    <row r="171" spans="1:16" ht="15.75" customHeight="1">
      <c r="A171" s="131" t="s">
        <v>181</v>
      </c>
      <c r="B171" s="26">
        <f t="shared" si="6"/>
        <v>3107</v>
      </c>
      <c r="C171" s="117" t="s">
        <v>374</v>
      </c>
      <c r="D171" s="117" t="s">
        <v>374</v>
      </c>
      <c r="E171" s="117" t="s">
        <v>374</v>
      </c>
      <c r="F171" s="117" t="s">
        <v>374</v>
      </c>
      <c r="G171" s="117" t="s">
        <v>374</v>
      </c>
      <c r="H171" s="117" t="s">
        <v>374</v>
      </c>
      <c r="I171" s="24">
        <f>'c-19'!F39</f>
        <v>3107</v>
      </c>
      <c r="J171" s="117" t="s">
        <v>374</v>
      </c>
      <c r="K171" s="117" t="s">
        <v>374</v>
      </c>
      <c r="L171" s="117" t="s">
        <v>374</v>
      </c>
      <c r="M171" s="117" t="s">
        <v>374</v>
      </c>
      <c r="N171" s="118" t="s">
        <v>374</v>
      </c>
      <c r="O171" s="65" t="s">
        <v>374</v>
      </c>
      <c r="P171" s="65" t="s">
        <v>374</v>
      </c>
    </row>
    <row r="172" spans="1:16" ht="15.75" customHeight="1">
      <c r="A172" s="131" t="s">
        <v>182</v>
      </c>
      <c r="B172" s="26">
        <f t="shared" si="6"/>
        <v>1694</v>
      </c>
      <c r="C172" s="117" t="s">
        <v>374</v>
      </c>
      <c r="D172" s="117" t="s">
        <v>374</v>
      </c>
      <c r="E172" s="117" t="s">
        <v>374</v>
      </c>
      <c r="F172" s="117" t="s">
        <v>374</v>
      </c>
      <c r="G172" s="117" t="s">
        <v>374</v>
      </c>
      <c r="H172" s="117" t="s">
        <v>374</v>
      </c>
      <c r="I172" s="24">
        <f>'c-19'!F40</f>
        <v>1694</v>
      </c>
      <c r="J172" s="117" t="s">
        <v>374</v>
      </c>
      <c r="K172" s="117" t="s">
        <v>374</v>
      </c>
      <c r="L172" s="117" t="s">
        <v>374</v>
      </c>
      <c r="M172" s="117" t="s">
        <v>374</v>
      </c>
      <c r="N172" s="118" t="s">
        <v>374</v>
      </c>
      <c r="O172" s="65" t="s">
        <v>374</v>
      </c>
      <c r="P172" s="65" t="s">
        <v>374</v>
      </c>
    </row>
    <row r="173" spans="1:16" ht="15.75" customHeight="1">
      <c r="A173" s="131" t="s">
        <v>426</v>
      </c>
      <c r="B173" s="26">
        <f t="shared" si="6"/>
        <v>9502</v>
      </c>
      <c r="C173" s="117" t="s">
        <v>374</v>
      </c>
      <c r="D173" s="117" t="s">
        <v>374</v>
      </c>
      <c r="E173" s="117" t="s">
        <v>374</v>
      </c>
      <c r="F173" s="117" t="s">
        <v>374</v>
      </c>
      <c r="G173" s="117" t="s">
        <v>374</v>
      </c>
      <c r="H173" s="117" t="s">
        <v>374</v>
      </c>
      <c r="I173" s="24">
        <f>'c-19'!F43</f>
        <v>9502</v>
      </c>
      <c r="J173" s="117" t="s">
        <v>374</v>
      </c>
      <c r="K173" s="117" t="s">
        <v>374</v>
      </c>
      <c r="L173" s="117" t="s">
        <v>374</v>
      </c>
      <c r="M173" s="117" t="s">
        <v>374</v>
      </c>
      <c r="N173" s="118" t="s">
        <v>374</v>
      </c>
      <c r="O173" s="65" t="s">
        <v>374</v>
      </c>
      <c r="P173" s="65" t="s">
        <v>374</v>
      </c>
    </row>
    <row r="174" spans="1:16" ht="15.75" customHeight="1">
      <c r="A174" s="131" t="s">
        <v>183</v>
      </c>
      <c r="B174" s="26">
        <f t="shared" si="6"/>
        <v>1230</v>
      </c>
      <c r="C174" s="117" t="s">
        <v>374</v>
      </c>
      <c r="D174" s="117" t="s">
        <v>374</v>
      </c>
      <c r="E174" s="117" t="s">
        <v>374</v>
      </c>
      <c r="F174" s="117" t="s">
        <v>374</v>
      </c>
      <c r="G174" s="117" t="s">
        <v>374</v>
      </c>
      <c r="H174" s="117" t="s">
        <v>374</v>
      </c>
      <c r="I174" s="24">
        <f>'c-19'!F44</f>
        <v>1230</v>
      </c>
      <c r="J174" s="117" t="s">
        <v>374</v>
      </c>
      <c r="K174" s="117" t="s">
        <v>374</v>
      </c>
      <c r="L174" s="117" t="s">
        <v>374</v>
      </c>
      <c r="M174" s="117" t="s">
        <v>374</v>
      </c>
      <c r="N174" s="118" t="s">
        <v>374</v>
      </c>
      <c r="O174" s="65" t="s">
        <v>374</v>
      </c>
      <c r="P174" s="65" t="s">
        <v>374</v>
      </c>
    </row>
    <row r="175" spans="1:16" ht="15.75" customHeight="1">
      <c r="A175" s="131" t="s">
        <v>184</v>
      </c>
      <c r="B175" s="26">
        <f t="shared" si="6"/>
        <v>1869</v>
      </c>
      <c r="C175" s="117" t="s">
        <v>374</v>
      </c>
      <c r="D175" s="117" t="s">
        <v>374</v>
      </c>
      <c r="E175" s="117" t="s">
        <v>374</v>
      </c>
      <c r="F175" s="117" t="s">
        <v>374</v>
      </c>
      <c r="G175" s="117" t="s">
        <v>374</v>
      </c>
      <c r="H175" s="117" t="s">
        <v>374</v>
      </c>
      <c r="I175" s="24">
        <f>'c-19'!F45</f>
        <v>1869</v>
      </c>
      <c r="J175" s="117" t="s">
        <v>374</v>
      </c>
      <c r="K175" s="117" t="s">
        <v>374</v>
      </c>
      <c r="L175" s="117" t="s">
        <v>374</v>
      </c>
      <c r="M175" s="117" t="s">
        <v>374</v>
      </c>
      <c r="N175" s="118" t="s">
        <v>374</v>
      </c>
      <c r="O175" s="65" t="s">
        <v>374</v>
      </c>
      <c r="P175" s="65" t="s">
        <v>374</v>
      </c>
    </row>
    <row r="176" spans="1:16" ht="15.75" customHeight="1">
      <c r="A176" s="131" t="s">
        <v>185</v>
      </c>
      <c r="B176" s="26">
        <f t="shared" si="6"/>
        <v>3074</v>
      </c>
      <c r="C176" s="117" t="s">
        <v>374</v>
      </c>
      <c r="D176" s="117" t="s">
        <v>374</v>
      </c>
      <c r="E176" s="117" t="s">
        <v>374</v>
      </c>
      <c r="F176" s="117" t="s">
        <v>374</v>
      </c>
      <c r="G176" s="117" t="s">
        <v>374</v>
      </c>
      <c r="H176" s="117" t="s">
        <v>374</v>
      </c>
      <c r="I176" s="24">
        <f>'c-19'!F48</f>
        <v>3074</v>
      </c>
      <c r="J176" s="117" t="s">
        <v>374</v>
      </c>
      <c r="K176" s="117" t="s">
        <v>374</v>
      </c>
      <c r="L176" s="117" t="s">
        <v>374</v>
      </c>
      <c r="M176" s="117" t="s">
        <v>374</v>
      </c>
      <c r="N176" s="118" t="s">
        <v>374</v>
      </c>
      <c r="O176" s="65" t="s">
        <v>374</v>
      </c>
      <c r="P176" s="65" t="s">
        <v>374</v>
      </c>
    </row>
    <row r="177" spans="1:23" ht="15.75" customHeight="1">
      <c r="A177" s="131" t="s">
        <v>186</v>
      </c>
      <c r="B177" s="26">
        <f t="shared" si="6"/>
        <v>2059</v>
      </c>
      <c r="C177" s="117" t="s">
        <v>374</v>
      </c>
      <c r="D177" s="117" t="s">
        <v>374</v>
      </c>
      <c r="E177" s="117" t="s">
        <v>374</v>
      </c>
      <c r="F177" s="117" t="s">
        <v>374</v>
      </c>
      <c r="G177" s="117" t="s">
        <v>374</v>
      </c>
      <c r="H177" s="117" t="s">
        <v>374</v>
      </c>
      <c r="I177" s="24">
        <f>'c-19'!F49</f>
        <v>2059</v>
      </c>
      <c r="J177" s="117" t="s">
        <v>374</v>
      </c>
      <c r="K177" s="117" t="s">
        <v>374</v>
      </c>
      <c r="L177" s="117" t="s">
        <v>374</v>
      </c>
      <c r="M177" s="117" t="s">
        <v>374</v>
      </c>
      <c r="N177" s="118" t="s">
        <v>374</v>
      </c>
      <c r="O177" s="65" t="s">
        <v>374</v>
      </c>
      <c r="P177" s="65" t="s">
        <v>374</v>
      </c>
    </row>
    <row r="178" spans="1:23" ht="15.75" customHeight="1">
      <c r="A178" s="131" t="s">
        <v>187</v>
      </c>
      <c r="B178" s="26">
        <f t="shared" si="6"/>
        <v>2715</v>
      </c>
      <c r="C178" s="117" t="s">
        <v>374</v>
      </c>
      <c r="D178" s="117" t="s">
        <v>374</v>
      </c>
      <c r="E178" s="117" t="s">
        <v>374</v>
      </c>
      <c r="F178" s="117" t="s">
        <v>374</v>
      </c>
      <c r="G178" s="117" t="s">
        <v>374</v>
      </c>
      <c r="H178" s="117" t="s">
        <v>374</v>
      </c>
      <c r="I178" s="24">
        <f>'c-19'!F52</f>
        <v>2715</v>
      </c>
      <c r="J178" s="117" t="s">
        <v>374</v>
      </c>
      <c r="K178" s="117" t="s">
        <v>374</v>
      </c>
      <c r="L178" s="117" t="s">
        <v>374</v>
      </c>
      <c r="M178" s="117" t="s">
        <v>374</v>
      </c>
      <c r="N178" s="118" t="s">
        <v>374</v>
      </c>
      <c r="O178" s="65" t="s">
        <v>374</v>
      </c>
      <c r="P178" s="65" t="s">
        <v>374</v>
      </c>
    </row>
    <row r="179" spans="1:23" ht="15.75" customHeight="1">
      <c r="A179" s="131" t="s">
        <v>188</v>
      </c>
      <c r="B179" s="26">
        <f t="shared" si="6"/>
        <v>3003</v>
      </c>
      <c r="C179" s="117" t="s">
        <v>374</v>
      </c>
      <c r="D179" s="117" t="s">
        <v>374</v>
      </c>
      <c r="E179" s="117" t="s">
        <v>374</v>
      </c>
      <c r="F179" s="117" t="s">
        <v>374</v>
      </c>
      <c r="G179" s="117" t="s">
        <v>374</v>
      </c>
      <c r="H179" s="117" t="s">
        <v>374</v>
      </c>
      <c r="I179" s="24">
        <f>'c-19'!F53</f>
        <v>3003</v>
      </c>
      <c r="J179" s="117" t="s">
        <v>374</v>
      </c>
      <c r="K179" s="117" t="s">
        <v>374</v>
      </c>
      <c r="L179" s="117" t="s">
        <v>374</v>
      </c>
      <c r="M179" s="117" t="s">
        <v>374</v>
      </c>
      <c r="N179" s="118" t="s">
        <v>374</v>
      </c>
      <c r="O179" s="65" t="s">
        <v>374</v>
      </c>
      <c r="P179" s="65" t="s">
        <v>374</v>
      </c>
    </row>
    <row r="180" spans="1:23" ht="15.75" customHeight="1">
      <c r="A180" s="131" t="s">
        <v>189</v>
      </c>
      <c r="B180" s="26">
        <f t="shared" si="6"/>
        <v>3358</v>
      </c>
      <c r="C180" s="117" t="s">
        <v>374</v>
      </c>
      <c r="D180" s="117" t="s">
        <v>374</v>
      </c>
      <c r="E180" s="117" t="s">
        <v>374</v>
      </c>
      <c r="F180" s="117" t="s">
        <v>374</v>
      </c>
      <c r="G180" s="117" t="s">
        <v>374</v>
      </c>
      <c r="H180" s="117" t="s">
        <v>374</v>
      </c>
      <c r="I180" s="24">
        <f>'c-19'!F56</f>
        <v>3358</v>
      </c>
      <c r="J180" s="117" t="s">
        <v>374</v>
      </c>
      <c r="K180" s="117" t="s">
        <v>374</v>
      </c>
      <c r="L180" s="117" t="s">
        <v>374</v>
      </c>
      <c r="M180" s="117" t="s">
        <v>374</v>
      </c>
      <c r="N180" s="118" t="s">
        <v>374</v>
      </c>
      <c r="O180" s="65" t="s">
        <v>374</v>
      </c>
      <c r="P180" s="65" t="s">
        <v>374</v>
      </c>
    </row>
    <row r="181" spans="1:23" ht="15.75" customHeight="1">
      <c r="A181" s="131" t="s">
        <v>190</v>
      </c>
      <c r="B181" s="26">
        <f t="shared" si="6"/>
        <v>1797</v>
      </c>
      <c r="C181" s="117" t="s">
        <v>374</v>
      </c>
      <c r="D181" s="117" t="s">
        <v>374</v>
      </c>
      <c r="E181" s="117" t="s">
        <v>374</v>
      </c>
      <c r="F181" s="117" t="s">
        <v>374</v>
      </c>
      <c r="G181" s="117" t="s">
        <v>374</v>
      </c>
      <c r="H181" s="117" t="s">
        <v>374</v>
      </c>
      <c r="I181" s="24">
        <f>'c-19'!F57</f>
        <v>1797</v>
      </c>
      <c r="J181" s="117" t="s">
        <v>374</v>
      </c>
      <c r="K181" s="117" t="s">
        <v>374</v>
      </c>
      <c r="L181" s="117" t="s">
        <v>374</v>
      </c>
      <c r="M181" s="117" t="s">
        <v>374</v>
      </c>
      <c r="N181" s="118" t="s">
        <v>374</v>
      </c>
      <c r="O181" s="65" t="s">
        <v>374</v>
      </c>
      <c r="P181" s="65" t="s">
        <v>374</v>
      </c>
    </row>
    <row r="182" spans="1:23" ht="15.75" customHeight="1">
      <c r="A182" s="131" t="s">
        <v>191</v>
      </c>
      <c r="B182" s="26">
        <f t="shared" si="6"/>
        <v>980</v>
      </c>
      <c r="C182" s="117" t="s">
        <v>374</v>
      </c>
      <c r="D182" s="117" t="s">
        <v>374</v>
      </c>
      <c r="E182" s="117" t="s">
        <v>374</v>
      </c>
      <c r="F182" s="117" t="s">
        <v>374</v>
      </c>
      <c r="G182" s="117" t="s">
        <v>374</v>
      </c>
      <c r="H182" s="117" t="s">
        <v>374</v>
      </c>
      <c r="I182" s="24">
        <f>'c-19'!F58</f>
        <v>980</v>
      </c>
      <c r="J182" s="117" t="s">
        <v>374</v>
      </c>
      <c r="K182" s="117" t="s">
        <v>374</v>
      </c>
      <c r="L182" s="117" t="s">
        <v>374</v>
      </c>
      <c r="M182" s="117" t="s">
        <v>374</v>
      </c>
      <c r="N182" s="118" t="s">
        <v>374</v>
      </c>
      <c r="O182" s="65" t="s">
        <v>374</v>
      </c>
      <c r="P182" s="65" t="s">
        <v>374</v>
      </c>
    </row>
    <row r="183" spans="1:23" ht="15.75" customHeight="1">
      <c r="A183" s="131" t="s">
        <v>889</v>
      </c>
      <c r="B183" s="26">
        <f>SUM(C183:P183)</f>
        <v>462</v>
      </c>
      <c r="C183" s="117" t="s">
        <v>374</v>
      </c>
      <c r="D183" s="117" t="s">
        <v>374</v>
      </c>
      <c r="E183" s="117" t="s">
        <v>374</v>
      </c>
      <c r="F183" s="117" t="s">
        <v>374</v>
      </c>
      <c r="G183" s="117" t="s">
        <v>374</v>
      </c>
      <c r="H183" s="117" t="s">
        <v>374</v>
      </c>
      <c r="I183" s="24">
        <f>'c-19'!F59</f>
        <v>462</v>
      </c>
      <c r="J183" s="117" t="s">
        <v>374</v>
      </c>
      <c r="K183" s="117" t="s">
        <v>374</v>
      </c>
      <c r="L183" s="117" t="s">
        <v>374</v>
      </c>
      <c r="M183" s="117" t="s">
        <v>374</v>
      </c>
      <c r="N183" s="118" t="s">
        <v>374</v>
      </c>
      <c r="O183" s="65" t="s">
        <v>374</v>
      </c>
      <c r="P183" s="65" t="s">
        <v>374</v>
      </c>
      <c r="V183" s="91"/>
      <c r="W183" s="91"/>
    </row>
    <row r="184" spans="1:23" ht="15.75" customHeight="1">
      <c r="A184" s="131" t="s">
        <v>581</v>
      </c>
      <c r="B184" s="26">
        <f t="shared" si="6"/>
        <v>1705</v>
      </c>
      <c r="C184" s="117" t="s">
        <v>374</v>
      </c>
      <c r="D184" s="117" t="s">
        <v>374</v>
      </c>
      <c r="E184" s="117" t="s">
        <v>374</v>
      </c>
      <c r="F184" s="117" t="s">
        <v>374</v>
      </c>
      <c r="G184" s="117" t="s">
        <v>374</v>
      </c>
      <c r="H184" s="117" t="s">
        <v>374</v>
      </c>
      <c r="I184" s="24">
        <f>'c-19'!F67</f>
        <v>1705</v>
      </c>
      <c r="J184" s="117" t="s">
        <v>374</v>
      </c>
      <c r="K184" s="117" t="s">
        <v>374</v>
      </c>
      <c r="L184" s="117" t="s">
        <v>374</v>
      </c>
      <c r="M184" s="117" t="s">
        <v>374</v>
      </c>
      <c r="N184" s="118" t="s">
        <v>374</v>
      </c>
      <c r="O184" s="65" t="s">
        <v>374</v>
      </c>
      <c r="P184" s="65" t="s">
        <v>374</v>
      </c>
    </row>
    <row r="185" spans="1:23" ht="15.75" customHeight="1">
      <c r="A185" s="131" t="s">
        <v>582</v>
      </c>
      <c r="B185" s="26">
        <f t="shared" si="6"/>
        <v>1672</v>
      </c>
      <c r="C185" s="117" t="s">
        <v>374</v>
      </c>
      <c r="D185" s="117" t="s">
        <v>374</v>
      </c>
      <c r="E185" s="117" t="s">
        <v>374</v>
      </c>
      <c r="F185" s="117" t="s">
        <v>374</v>
      </c>
      <c r="G185" s="117" t="s">
        <v>374</v>
      </c>
      <c r="H185" s="117" t="s">
        <v>374</v>
      </c>
      <c r="I185" s="24">
        <f>'c-19'!F68</f>
        <v>1672</v>
      </c>
      <c r="J185" s="117" t="s">
        <v>374</v>
      </c>
      <c r="K185" s="117" t="s">
        <v>374</v>
      </c>
      <c r="L185" s="117" t="s">
        <v>374</v>
      </c>
      <c r="M185" s="117" t="s">
        <v>374</v>
      </c>
      <c r="N185" s="118" t="s">
        <v>374</v>
      </c>
      <c r="O185" s="65" t="s">
        <v>374</v>
      </c>
      <c r="P185" s="65" t="s">
        <v>374</v>
      </c>
    </row>
    <row r="186" spans="1:23" s="91" customFormat="1" ht="15.75" customHeight="1">
      <c r="A186" s="131" t="s">
        <v>192</v>
      </c>
      <c r="B186" s="26">
        <f t="shared" si="6"/>
        <v>1075</v>
      </c>
      <c r="C186" s="117" t="s">
        <v>374</v>
      </c>
      <c r="D186" s="117" t="s">
        <v>374</v>
      </c>
      <c r="E186" s="117" t="s">
        <v>374</v>
      </c>
      <c r="F186" s="117" t="s">
        <v>374</v>
      </c>
      <c r="G186" s="117" t="s">
        <v>374</v>
      </c>
      <c r="H186" s="117" t="s">
        <v>374</v>
      </c>
      <c r="I186" s="24">
        <f>'c-19'!F66</f>
        <v>1075</v>
      </c>
      <c r="J186" s="117" t="s">
        <v>374</v>
      </c>
      <c r="K186" s="117" t="s">
        <v>374</v>
      </c>
      <c r="L186" s="117" t="s">
        <v>374</v>
      </c>
      <c r="M186" s="117" t="s">
        <v>374</v>
      </c>
      <c r="N186" s="118" t="s">
        <v>374</v>
      </c>
      <c r="O186" s="65" t="s">
        <v>374</v>
      </c>
      <c r="P186" s="65" t="s">
        <v>374</v>
      </c>
      <c r="V186" s="35"/>
      <c r="W186" s="35"/>
    </row>
    <row r="187" spans="1:23" ht="15.75" customHeight="1">
      <c r="A187" s="131" t="s">
        <v>683</v>
      </c>
      <c r="B187" s="26">
        <f t="shared" si="6"/>
        <v>570</v>
      </c>
      <c r="C187" s="117" t="s">
        <v>374</v>
      </c>
      <c r="D187" s="117" t="s">
        <v>374</v>
      </c>
      <c r="E187" s="117" t="s">
        <v>374</v>
      </c>
      <c r="F187" s="117" t="s">
        <v>374</v>
      </c>
      <c r="G187" s="117" t="s">
        <v>374</v>
      </c>
      <c r="H187" s="117" t="s">
        <v>374</v>
      </c>
      <c r="I187" s="24">
        <f>'c-19'!F63</f>
        <v>570</v>
      </c>
      <c r="J187" s="117" t="s">
        <v>374</v>
      </c>
      <c r="K187" s="117" t="s">
        <v>374</v>
      </c>
      <c r="L187" s="117" t="s">
        <v>374</v>
      </c>
      <c r="M187" s="117" t="s">
        <v>374</v>
      </c>
      <c r="N187" s="118" t="s">
        <v>374</v>
      </c>
      <c r="O187" s="65" t="s">
        <v>374</v>
      </c>
      <c r="P187" s="65" t="s">
        <v>374</v>
      </c>
    </row>
    <row r="188" spans="1:23" ht="15.75" customHeight="1">
      <c r="A188" s="131" t="s">
        <v>477</v>
      </c>
      <c r="B188" s="26">
        <f t="shared" si="6"/>
        <v>833</v>
      </c>
      <c r="C188" s="117" t="s">
        <v>374</v>
      </c>
      <c r="D188" s="117" t="s">
        <v>374</v>
      </c>
      <c r="E188" s="117" t="s">
        <v>374</v>
      </c>
      <c r="F188" s="117" t="s">
        <v>374</v>
      </c>
      <c r="G188" s="117" t="s">
        <v>374</v>
      </c>
      <c r="H188" s="117" t="s">
        <v>374</v>
      </c>
      <c r="I188" s="24">
        <f>'c-19'!F69</f>
        <v>833</v>
      </c>
      <c r="J188" s="117" t="s">
        <v>374</v>
      </c>
      <c r="K188" s="117" t="s">
        <v>374</v>
      </c>
      <c r="L188" s="117" t="s">
        <v>374</v>
      </c>
      <c r="M188" s="117" t="s">
        <v>374</v>
      </c>
      <c r="N188" s="118" t="s">
        <v>374</v>
      </c>
      <c r="O188" s="65" t="s">
        <v>374</v>
      </c>
      <c r="P188" s="65" t="s">
        <v>374</v>
      </c>
    </row>
    <row r="189" spans="1:23" ht="15.75" customHeight="1">
      <c r="A189" s="120" t="s">
        <v>478</v>
      </c>
      <c r="B189" s="26">
        <f t="shared" si="6"/>
        <v>4187</v>
      </c>
      <c r="C189" s="117" t="s">
        <v>374</v>
      </c>
      <c r="D189" s="117" t="s">
        <v>374</v>
      </c>
      <c r="E189" s="117" t="s">
        <v>374</v>
      </c>
      <c r="F189" s="117" t="s">
        <v>374</v>
      </c>
      <c r="G189" s="117" t="s">
        <v>374</v>
      </c>
      <c r="H189" s="117" t="s">
        <v>374</v>
      </c>
      <c r="I189" s="24">
        <f>'c-19'!F72</f>
        <v>4187</v>
      </c>
      <c r="J189" s="117" t="s">
        <v>374</v>
      </c>
      <c r="K189" s="117" t="s">
        <v>374</v>
      </c>
      <c r="L189" s="117" t="s">
        <v>374</v>
      </c>
      <c r="M189" s="117" t="s">
        <v>374</v>
      </c>
      <c r="N189" s="118" t="s">
        <v>374</v>
      </c>
      <c r="O189" s="65" t="s">
        <v>374</v>
      </c>
      <c r="P189" s="65" t="s">
        <v>374</v>
      </c>
    </row>
    <row r="190" spans="1:23" s="91" customFormat="1" ht="15.75" customHeight="1">
      <c r="A190" s="120" t="s">
        <v>479</v>
      </c>
      <c r="B190" s="26">
        <f t="shared" si="6"/>
        <v>4514</v>
      </c>
      <c r="C190" s="117" t="s">
        <v>374</v>
      </c>
      <c r="D190" s="117" t="s">
        <v>374</v>
      </c>
      <c r="E190" s="117" t="s">
        <v>374</v>
      </c>
      <c r="F190" s="117" t="s">
        <v>374</v>
      </c>
      <c r="G190" s="117" t="s">
        <v>374</v>
      </c>
      <c r="H190" s="117" t="s">
        <v>374</v>
      </c>
      <c r="I190" s="24">
        <f>'c-19'!F76</f>
        <v>4514</v>
      </c>
      <c r="J190" s="117" t="s">
        <v>374</v>
      </c>
      <c r="K190" s="117" t="s">
        <v>374</v>
      </c>
      <c r="L190" s="117" t="s">
        <v>374</v>
      </c>
      <c r="M190" s="117" t="s">
        <v>374</v>
      </c>
      <c r="N190" s="118" t="s">
        <v>374</v>
      </c>
      <c r="O190" s="65" t="s">
        <v>374</v>
      </c>
      <c r="P190" s="65" t="s">
        <v>374</v>
      </c>
      <c r="V190" s="35"/>
      <c r="W190" s="35"/>
    </row>
    <row r="191" spans="1:23" ht="15.75" customHeight="1">
      <c r="A191" s="120" t="s">
        <v>480</v>
      </c>
      <c r="B191" s="26">
        <f t="shared" si="6"/>
        <v>1009</v>
      </c>
      <c r="C191" s="117" t="s">
        <v>374</v>
      </c>
      <c r="D191" s="117" t="s">
        <v>374</v>
      </c>
      <c r="E191" s="117" t="s">
        <v>374</v>
      </c>
      <c r="F191" s="117" t="s">
        <v>374</v>
      </c>
      <c r="G191" s="117" t="s">
        <v>374</v>
      </c>
      <c r="H191" s="117" t="s">
        <v>374</v>
      </c>
      <c r="I191" s="24">
        <f>'c-19'!F73</f>
        <v>1009</v>
      </c>
      <c r="J191" s="117" t="s">
        <v>374</v>
      </c>
      <c r="K191" s="117" t="s">
        <v>374</v>
      </c>
      <c r="L191" s="117" t="s">
        <v>374</v>
      </c>
      <c r="M191" s="117" t="s">
        <v>374</v>
      </c>
      <c r="N191" s="118" t="s">
        <v>374</v>
      </c>
      <c r="O191" s="65" t="s">
        <v>374</v>
      </c>
      <c r="P191" s="65" t="s">
        <v>374</v>
      </c>
    </row>
    <row r="192" spans="1:23" ht="15.75" customHeight="1">
      <c r="A192" s="131" t="s">
        <v>481</v>
      </c>
      <c r="B192" s="26">
        <f t="shared" si="6"/>
        <v>1820</v>
      </c>
      <c r="C192" s="117" t="s">
        <v>374</v>
      </c>
      <c r="D192" s="117" t="s">
        <v>374</v>
      </c>
      <c r="E192" s="117" t="s">
        <v>374</v>
      </c>
      <c r="F192" s="117" t="s">
        <v>374</v>
      </c>
      <c r="G192" s="117" t="s">
        <v>374</v>
      </c>
      <c r="H192" s="118" t="s">
        <v>374</v>
      </c>
      <c r="I192" s="24">
        <f>'c-19'!F77</f>
        <v>1820</v>
      </c>
      <c r="J192" s="64" t="s">
        <v>374</v>
      </c>
      <c r="K192" s="117" t="s">
        <v>374</v>
      </c>
      <c r="L192" s="117" t="s">
        <v>374</v>
      </c>
      <c r="M192" s="117" t="s">
        <v>374</v>
      </c>
      <c r="N192" s="118" t="s">
        <v>374</v>
      </c>
      <c r="O192" s="65" t="s">
        <v>374</v>
      </c>
      <c r="P192" s="65" t="s">
        <v>374</v>
      </c>
    </row>
    <row r="193" spans="1:23" ht="15.75" customHeight="1">
      <c r="A193" s="113"/>
      <c r="B193" s="26"/>
      <c r="C193" s="51"/>
      <c r="D193" s="51"/>
      <c r="E193" s="51"/>
      <c r="F193" s="51"/>
      <c r="G193" s="51"/>
      <c r="H193" s="51"/>
      <c r="I193" s="117"/>
      <c r="J193" s="51"/>
      <c r="K193" s="51"/>
      <c r="L193" s="117"/>
      <c r="M193" s="51"/>
      <c r="N193" s="21"/>
      <c r="O193" s="65"/>
      <c r="P193" s="65"/>
    </row>
    <row r="194" spans="1:23" ht="15.75" customHeight="1">
      <c r="A194" s="106" t="s">
        <v>482</v>
      </c>
      <c r="B194" s="62">
        <f>SUM(B196:B202)</f>
        <v>7223</v>
      </c>
      <c r="C194" s="97" t="s">
        <v>374</v>
      </c>
      <c r="D194" s="97" t="s">
        <v>374</v>
      </c>
      <c r="E194" s="97" t="s">
        <v>374</v>
      </c>
      <c r="F194" s="97" t="s">
        <v>374</v>
      </c>
      <c r="G194" s="97" t="s">
        <v>374</v>
      </c>
      <c r="H194" s="97" t="s">
        <v>374</v>
      </c>
      <c r="I194" s="97" t="s">
        <v>374</v>
      </c>
      <c r="J194" s="97" t="s">
        <v>374</v>
      </c>
      <c r="K194" s="97" t="s">
        <v>374</v>
      </c>
      <c r="L194" s="97" t="s">
        <v>374</v>
      </c>
      <c r="M194" s="62">
        <f>SUM(M196:M203)</f>
        <v>8108</v>
      </c>
      <c r="N194" s="98" t="s">
        <v>374</v>
      </c>
      <c r="O194" s="112" t="s">
        <v>374</v>
      </c>
      <c r="P194" s="112" t="s">
        <v>374</v>
      </c>
    </row>
    <row r="195" spans="1:23" ht="15.75" customHeight="1">
      <c r="A195" s="120"/>
      <c r="B195" s="64"/>
      <c r="C195" s="51"/>
      <c r="D195" s="51"/>
      <c r="E195" s="51"/>
      <c r="F195" s="51"/>
      <c r="G195" s="51"/>
      <c r="H195" s="51"/>
      <c r="I195" s="51"/>
      <c r="J195" s="51"/>
      <c r="K195" s="51"/>
      <c r="L195" s="117"/>
      <c r="M195" s="117"/>
      <c r="N195" s="21"/>
      <c r="O195" s="65"/>
      <c r="P195" s="65"/>
    </row>
    <row r="196" spans="1:23" ht="15.75" customHeight="1">
      <c r="A196" s="120" t="s">
        <v>483</v>
      </c>
      <c r="B196" s="26">
        <f t="shared" ref="B196:B203" si="7">SUM(C196:P196)</f>
        <v>3287</v>
      </c>
      <c r="C196" s="117" t="s">
        <v>374</v>
      </c>
      <c r="D196" s="117" t="s">
        <v>374</v>
      </c>
      <c r="E196" s="117" t="s">
        <v>374</v>
      </c>
      <c r="F196" s="117" t="s">
        <v>374</v>
      </c>
      <c r="G196" s="117" t="s">
        <v>374</v>
      </c>
      <c r="H196" s="117" t="s">
        <v>374</v>
      </c>
      <c r="I196" s="117" t="s">
        <v>374</v>
      </c>
      <c r="J196" s="117" t="s">
        <v>374</v>
      </c>
      <c r="K196" s="117" t="s">
        <v>374</v>
      </c>
      <c r="L196" s="117" t="s">
        <v>374</v>
      </c>
      <c r="M196" s="24">
        <f>'c-22'!F12</f>
        <v>3287</v>
      </c>
      <c r="N196" s="118" t="s">
        <v>374</v>
      </c>
      <c r="O196" s="65" t="s">
        <v>374</v>
      </c>
      <c r="P196" s="65" t="s">
        <v>374</v>
      </c>
    </row>
    <row r="197" spans="1:23" ht="15.75" customHeight="1">
      <c r="A197" s="120" t="s">
        <v>450</v>
      </c>
      <c r="B197" s="26">
        <f t="shared" si="7"/>
        <v>607</v>
      </c>
      <c r="C197" s="117" t="s">
        <v>374</v>
      </c>
      <c r="D197" s="117" t="s">
        <v>374</v>
      </c>
      <c r="E197" s="117" t="s">
        <v>374</v>
      </c>
      <c r="F197" s="117" t="s">
        <v>374</v>
      </c>
      <c r="G197" s="117" t="s">
        <v>374</v>
      </c>
      <c r="H197" s="117" t="s">
        <v>374</v>
      </c>
      <c r="I197" s="117" t="s">
        <v>374</v>
      </c>
      <c r="J197" s="117" t="s">
        <v>374</v>
      </c>
      <c r="K197" s="117" t="s">
        <v>374</v>
      </c>
      <c r="L197" s="117" t="s">
        <v>374</v>
      </c>
      <c r="M197" s="24">
        <f>'c-22'!F16</f>
        <v>607</v>
      </c>
      <c r="N197" s="118" t="s">
        <v>374</v>
      </c>
      <c r="O197" s="65" t="s">
        <v>374</v>
      </c>
      <c r="P197" s="65" t="s">
        <v>374</v>
      </c>
    </row>
    <row r="198" spans="1:23" ht="15.75" customHeight="1">
      <c r="A198" s="120" t="s">
        <v>1037</v>
      </c>
      <c r="B198" s="26">
        <f t="shared" si="7"/>
        <v>363</v>
      </c>
      <c r="C198" s="117" t="s">
        <v>374</v>
      </c>
      <c r="D198" s="117" t="s">
        <v>374</v>
      </c>
      <c r="E198" s="117" t="s">
        <v>374</v>
      </c>
      <c r="F198" s="117" t="s">
        <v>374</v>
      </c>
      <c r="G198" s="117" t="s">
        <v>374</v>
      </c>
      <c r="H198" s="117" t="s">
        <v>374</v>
      </c>
      <c r="I198" s="117" t="s">
        <v>374</v>
      </c>
      <c r="J198" s="117" t="s">
        <v>374</v>
      </c>
      <c r="K198" s="117" t="s">
        <v>374</v>
      </c>
      <c r="L198" s="117" t="s">
        <v>374</v>
      </c>
      <c r="M198" s="24">
        <f>'c-22'!F19</f>
        <v>363</v>
      </c>
      <c r="N198" s="117" t="s">
        <v>374</v>
      </c>
      <c r="O198" s="117" t="s">
        <v>374</v>
      </c>
      <c r="P198" s="65" t="s">
        <v>374</v>
      </c>
    </row>
    <row r="199" spans="1:23" ht="15.75" customHeight="1">
      <c r="A199" s="120" t="s">
        <v>451</v>
      </c>
      <c r="B199" s="26">
        <f t="shared" si="7"/>
        <v>922</v>
      </c>
      <c r="C199" s="117" t="s">
        <v>374</v>
      </c>
      <c r="D199" s="117" t="s">
        <v>374</v>
      </c>
      <c r="E199" s="117" t="s">
        <v>374</v>
      </c>
      <c r="F199" s="117" t="s">
        <v>374</v>
      </c>
      <c r="G199" s="117" t="s">
        <v>374</v>
      </c>
      <c r="H199" s="117" t="s">
        <v>374</v>
      </c>
      <c r="I199" s="117" t="s">
        <v>374</v>
      </c>
      <c r="J199" s="117" t="s">
        <v>374</v>
      </c>
      <c r="K199" s="117" t="s">
        <v>374</v>
      </c>
      <c r="L199" s="117" t="s">
        <v>374</v>
      </c>
      <c r="M199" s="24">
        <f>'c-22'!F27</f>
        <v>922</v>
      </c>
      <c r="N199" s="118" t="s">
        <v>374</v>
      </c>
      <c r="O199" s="65" t="s">
        <v>374</v>
      </c>
      <c r="P199" s="65" t="s">
        <v>374</v>
      </c>
      <c r="V199" s="91"/>
      <c r="W199" s="91"/>
    </row>
    <row r="200" spans="1:23" ht="15.75" customHeight="1">
      <c r="A200" s="120" t="s">
        <v>426</v>
      </c>
      <c r="B200" s="26">
        <f t="shared" si="7"/>
        <v>633</v>
      </c>
      <c r="C200" s="117" t="s">
        <v>374</v>
      </c>
      <c r="D200" s="117" t="s">
        <v>374</v>
      </c>
      <c r="E200" s="117" t="s">
        <v>374</v>
      </c>
      <c r="F200" s="117" t="s">
        <v>374</v>
      </c>
      <c r="G200" s="117" t="s">
        <v>374</v>
      </c>
      <c r="H200" s="117" t="s">
        <v>374</v>
      </c>
      <c r="I200" s="117" t="s">
        <v>374</v>
      </c>
      <c r="J200" s="117" t="s">
        <v>374</v>
      </c>
      <c r="K200" s="117" t="s">
        <v>374</v>
      </c>
      <c r="L200" s="117" t="s">
        <v>374</v>
      </c>
      <c r="M200" s="24">
        <f>'c-22'!F31</f>
        <v>633</v>
      </c>
      <c r="N200" s="118" t="s">
        <v>374</v>
      </c>
      <c r="O200" s="65" t="s">
        <v>374</v>
      </c>
      <c r="P200" s="65" t="s">
        <v>374</v>
      </c>
    </row>
    <row r="201" spans="1:23" ht="15.75" customHeight="1">
      <c r="A201" s="120" t="s">
        <v>427</v>
      </c>
      <c r="B201" s="26">
        <f t="shared" si="7"/>
        <v>716</v>
      </c>
      <c r="C201" s="117" t="s">
        <v>374</v>
      </c>
      <c r="D201" s="117" t="s">
        <v>374</v>
      </c>
      <c r="E201" s="117" t="s">
        <v>374</v>
      </c>
      <c r="F201" s="117" t="s">
        <v>374</v>
      </c>
      <c r="G201" s="117" t="s">
        <v>374</v>
      </c>
      <c r="H201" s="117" t="s">
        <v>374</v>
      </c>
      <c r="I201" s="117" t="s">
        <v>374</v>
      </c>
      <c r="J201" s="117" t="s">
        <v>374</v>
      </c>
      <c r="K201" s="117" t="s">
        <v>374</v>
      </c>
      <c r="L201" s="117" t="s">
        <v>374</v>
      </c>
      <c r="M201" s="24">
        <f>'c-22'!F43</f>
        <v>716</v>
      </c>
      <c r="N201" s="118" t="s">
        <v>374</v>
      </c>
      <c r="O201" s="65" t="s">
        <v>374</v>
      </c>
      <c r="P201" s="65" t="s">
        <v>374</v>
      </c>
    </row>
    <row r="202" spans="1:23" ht="15.75" customHeight="1">
      <c r="A202" s="120" t="s">
        <v>890</v>
      </c>
      <c r="B202" s="26">
        <f t="shared" si="7"/>
        <v>695</v>
      </c>
      <c r="C202" s="117" t="s">
        <v>374</v>
      </c>
      <c r="D202" s="117" t="s">
        <v>374</v>
      </c>
      <c r="E202" s="117" t="s">
        <v>374</v>
      </c>
      <c r="F202" s="117" t="s">
        <v>374</v>
      </c>
      <c r="G202" s="117" t="s">
        <v>374</v>
      </c>
      <c r="H202" s="117" t="s">
        <v>374</v>
      </c>
      <c r="I202" s="117" t="s">
        <v>374</v>
      </c>
      <c r="J202" s="117" t="s">
        <v>374</v>
      </c>
      <c r="K202" s="117" t="s">
        <v>374</v>
      </c>
      <c r="L202" s="117" t="s">
        <v>374</v>
      </c>
      <c r="M202" s="24">
        <f>'c-22'!F56</f>
        <v>695</v>
      </c>
      <c r="N202" s="118" t="s">
        <v>374</v>
      </c>
      <c r="O202" s="65" t="s">
        <v>374</v>
      </c>
      <c r="P202" s="65" t="s">
        <v>374</v>
      </c>
    </row>
    <row r="203" spans="1:23" ht="15.75" customHeight="1">
      <c r="A203" s="120" t="s">
        <v>1017</v>
      </c>
      <c r="B203" s="26">
        <f t="shared" si="7"/>
        <v>885</v>
      </c>
      <c r="C203" s="117" t="s">
        <v>374</v>
      </c>
      <c r="D203" s="117" t="s">
        <v>374</v>
      </c>
      <c r="E203" s="117" t="s">
        <v>374</v>
      </c>
      <c r="F203" s="117" t="s">
        <v>374</v>
      </c>
      <c r="G203" s="117" t="s">
        <v>374</v>
      </c>
      <c r="H203" s="117" t="s">
        <v>374</v>
      </c>
      <c r="I203" s="117" t="s">
        <v>374</v>
      </c>
      <c r="J203" s="117" t="s">
        <v>374</v>
      </c>
      <c r="K203" s="117" t="s">
        <v>374</v>
      </c>
      <c r="L203" s="117" t="s">
        <v>374</v>
      </c>
      <c r="M203" s="121">
        <f>'c-22'!F59</f>
        <v>885</v>
      </c>
      <c r="N203" s="117" t="s">
        <v>374</v>
      </c>
      <c r="O203" s="117" t="s">
        <v>374</v>
      </c>
      <c r="P203" s="65" t="s">
        <v>374</v>
      </c>
    </row>
    <row r="204" spans="1:23" ht="15.75" customHeight="1">
      <c r="A204" s="113"/>
      <c r="B204" s="26"/>
      <c r="C204" s="51"/>
      <c r="D204" s="51"/>
      <c r="E204" s="51"/>
      <c r="F204" s="51"/>
      <c r="G204" s="51"/>
      <c r="H204" s="51"/>
      <c r="I204" s="51"/>
      <c r="J204" s="51"/>
      <c r="K204" s="51"/>
      <c r="L204" s="117"/>
      <c r="M204" s="51"/>
      <c r="N204" s="21"/>
      <c r="O204" s="65"/>
      <c r="P204" s="65"/>
    </row>
    <row r="205" spans="1:23" ht="15.75" customHeight="1">
      <c r="A205" s="106" t="s">
        <v>484</v>
      </c>
      <c r="B205" s="97">
        <f>SUM(B207:B225)</f>
        <v>15899</v>
      </c>
      <c r="C205" s="97">
        <f t="shared" ref="C205:H205" si="8">SUM(C207:C225)</f>
        <v>3099</v>
      </c>
      <c r="D205" s="97" t="s">
        <v>374</v>
      </c>
      <c r="E205" s="97">
        <f t="shared" si="8"/>
        <v>0</v>
      </c>
      <c r="F205" s="97">
        <f t="shared" si="8"/>
        <v>2557</v>
      </c>
      <c r="G205" s="97">
        <f t="shared" si="8"/>
        <v>470</v>
      </c>
      <c r="H205" s="97">
        <f t="shared" si="8"/>
        <v>5393</v>
      </c>
      <c r="I205" s="97" t="s">
        <v>374</v>
      </c>
      <c r="J205" s="97" t="s">
        <v>374</v>
      </c>
      <c r="K205" s="97" t="s">
        <v>374</v>
      </c>
      <c r="L205" s="62" t="s">
        <v>374</v>
      </c>
      <c r="M205" s="97">
        <f>SUM(M207:M225)</f>
        <v>714</v>
      </c>
      <c r="N205" s="97">
        <f>SUM(N207:N225)</f>
        <v>3666</v>
      </c>
      <c r="O205" s="112" t="s">
        <v>374</v>
      </c>
      <c r="P205" s="112" t="s">
        <v>374</v>
      </c>
    </row>
    <row r="206" spans="1:23" ht="15.75" customHeight="1">
      <c r="A206" s="120"/>
      <c r="B206" s="64"/>
      <c r="C206" s="117"/>
      <c r="D206" s="117"/>
      <c r="E206" s="51"/>
      <c r="F206" s="65"/>
      <c r="G206" s="26"/>
      <c r="H206" s="117"/>
      <c r="I206" s="51"/>
      <c r="J206" s="51"/>
      <c r="K206" s="51"/>
      <c r="L206" s="117"/>
      <c r="M206" s="117"/>
      <c r="N206" s="118"/>
      <c r="O206" s="65"/>
      <c r="P206" s="65"/>
    </row>
    <row r="207" spans="1:23" ht="15.75" customHeight="1">
      <c r="A207" s="120" t="s">
        <v>485</v>
      </c>
      <c r="B207" s="26">
        <f t="shared" ref="B207:B224" si="9">SUM(C207:P207)</f>
        <v>751</v>
      </c>
      <c r="C207" s="24">
        <f>'c-10'!E33</f>
        <v>110</v>
      </c>
      <c r="D207" s="121" t="s">
        <v>374</v>
      </c>
      <c r="E207" s="117" t="s">
        <v>374</v>
      </c>
      <c r="F207" s="65">
        <f>'c-14'!F21</f>
        <v>552</v>
      </c>
      <c r="G207" s="64" t="s">
        <v>374</v>
      </c>
      <c r="H207" s="65">
        <f>'c-17'!F27</f>
        <v>89</v>
      </c>
      <c r="I207" s="64" t="s">
        <v>374</v>
      </c>
      <c r="J207" s="117" t="s">
        <v>374</v>
      </c>
      <c r="K207" s="117" t="s">
        <v>374</v>
      </c>
      <c r="L207" s="117" t="s">
        <v>374</v>
      </c>
      <c r="M207" s="117" t="s">
        <v>374</v>
      </c>
      <c r="N207" s="118" t="s">
        <v>374</v>
      </c>
      <c r="O207" s="65" t="s">
        <v>374</v>
      </c>
      <c r="P207" s="65" t="s">
        <v>374</v>
      </c>
    </row>
    <row r="208" spans="1:23" ht="15.75" customHeight="1">
      <c r="A208" s="120" t="s">
        <v>486</v>
      </c>
      <c r="B208" s="26">
        <f t="shared" si="9"/>
        <v>394</v>
      </c>
      <c r="C208" s="24">
        <f>'c-10'!E32</f>
        <v>156</v>
      </c>
      <c r="D208" s="121" t="s">
        <v>374</v>
      </c>
      <c r="E208" s="117" t="s">
        <v>374</v>
      </c>
      <c r="F208" s="66" t="s">
        <v>374</v>
      </c>
      <c r="G208" s="64" t="s">
        <v>374</v>
      </c>
      <c r="H208" s="65">
        <f>'c-17'!F28</f>
        <v>238</v>
      </c>
      <c r="I208" s="64" t="s">
        <v>374</v>
      </c>
      <c r="J208" s="117" t="s">
        <v>374</v>
      </c>
      <c r="K208" s="117" t="s">
        <v>374</v>
      </c>
      <c r="L208" s="117" t="s">
        <v>374</v>
      </c>
      <c r="M208" s="117" t="s">
        <v>374</v>
      </c>
      <c r="N208" s="118" t="s">
        <v>374</v>
      </c>
      <c r="O208" s="65" t="s">
        <v>374</v>
      </c>
      <c r="P208" s="65" t="s">
        <v>374</v>
      </c>
    </row>
    <row r="209" spans="1:23" ht="15.75" customHeight="1">
      <c r="A209" s="120" t="s">
        <v>174</v>
      </c>
      <c r="B209" s="26">
        <f t="shared" si="9"/>
        <v>1164</v>
      </c>
      <c r="C209" s="53">
        <f>'c-10'!E16</f>
        <v>106</v>
      </c>
      <c r="D209" s="24" t="s">
        <v>374</v>
      </c>
      <c r="E209" s="64" t="s">
        <v>374</v>
      </c>
      <c r="F209" s="65">
        <f>'c-14'!F15</f>
        <v>393</v>
      </c>
      <c r="G209" s="64" t="s">
        <v>374</v>
      </c>
      <c r="H209" s="65">
        <f>'c-17'!F13</f>
        <v>132</v>
      </c>
      <c r="I209" s="64" t="s">
        <v>374</v>
      </c>
      <c r="J209" s="117" t="s">
        <v>374</v>
      </c>
      <c r="K209" s="117" t="s">
        <v>374</v>
      </c>
      <c r="L209" s="117" t="s">
        <v>374</v>
      </c>
      <c r="M209" s="64">
        <f>'c-22'!F13</f>
        <v>56</v>
      </c>
      <c r="N209" s="65">
        <f>'c-16'!F13</f>
        <v>477</v>
      </c>
      <c r="O209" s="65" t="s">
        <v>374</v>
      </c>
      <c r="P209" s="65" t="s">
        <v>374</v>
      </c>
    </row>
    <row r="210" spans="1:23" ht="15.75" customHeight="1">
      <c r="A210" s="120" t="s">
        <v>156</v>
      </c>
      <c r="B210" s="26">
        <f t="shared" si="9"/>
        <v>603</v>
      </c>
      <c r="C210" s="24">
        <f>'c-10'!E121</f>
        <v>201</v>
      </c>
      <c r="D210" s="121" t="s">
        <v>374</v>
      </c>
      <c r="E210" s="117" t="s">
        <v>374</v>
      </c>
      <c r="F210" s="66" t="s">
        <v>374</v>
      </c>
      <c r="G210" s="24" t="s">
        <v>374</v>
      </c>
      <c r="H210" s="65">
        <f>'c-17'!F116</f>
        <v>402</v>
      </c>
      <c r="I210" s="64" t="s">
        <v>374</v>
      </c>
      <c r="J210" s="117" t="s">
        <v>374</v>
      </c>
      <c r="K210" s="117" t="s">
        <v>374</v>
      </c>
      <c r="L210" s="117" t="s">
        <v>374</v>
      </c>
      <c r="M210" s="117" t="s">
        <v>374</v>
      </c>
      <c r="N210" s="118" t="s">
        <v>374</v>
      </c>
      <c r="O210" s="65" t="s">
        <v>374</v>
      </c>
      <c r="P210" s="65" t="s">
        <v>374</v>
      </c>
    </row>
    <row r="211" spans="1:23" ht="15.75" customHeight="1">
      <c r="A211" s="120" t="s">
        <v>487</v>
      </c>
      <c r="B211" s="26">
        <f t="shared" si="9"/>
        <v>813</v>
      </c>
      <c r="C211" s="24">
        <f>'c-10'!E60</f>
        <v>194</v>
      </c>
      <c r="D211" s="121" t="s">
        <v>374</v>
      </c>
      <c r="E211" s="117" t="s">
        <v>374</v>
      </c>
      <c r="F211" s="117" t="s">
        <v>374</v>
      </c>
      <c r="G211" s="117" t="s">
        <v>374</v>
      </c>
      <c r="H211" s="65">
        <f>'c-17'!F54</f>
        <v>619</v>
      </c>
      <c r="I211" s="64" t="s">
        <v>374</v>
      </c>
      <c r="J211" s="117" t="s">
        <v>374</v>
      </c>
      <c r="K211" s="117" t="s">
        <v>374</v>
      </c>
      <c r="L211" s="117" t="s">
        <v>374</v>
      </c>
      <c r="M211" s="117" t="s">
        <v>374</v>
      </c>
      <c r="N211" s="118" t="s">
        <v>374</v>
      </c>
      <c r="O211" s="65" t="s">
        <v>374</v>
      </c>
      <c r="P211" s="65" t="s">
        <v>374</v>
      </c>
    </row>
    <row r="212" spans="1:23" ht="15.75" customHeight="1">
      <c r="A212" s="120" t="s">
        <v>488</v>
      </c>
      <c r="B212" s="26">
        <f t="shared" si="9"/>
        <v>846</v>
      </c>
      <c r="C212" s="24">
        <f>'c-10'!E59</f>
        <v>219</v>
      </c>
      <c r="D212" s="121" t="s">
        <v>374</v>
      </c>
      <c r="E212" s="117" t="s">
        <v>374</v>
      </c>
      <c r="F212" s="117" t="s">
        <v>374</v>
      </c>
      <c r="G212" s="117">
        <f>'c-12'!F22</f>
        <v>214</v>
      </c>
      <c r="H212" s="65">
        <f>'c-17'!F55</f>
        <v>413</v>
      </c>
      <c r="I212" s="64" t="s">
        <v>374</v>
      </c>
      <c r="J212" s="117" t="s">
        <v>374</v>
      </c>
      <c r="K212" s="117" t="s">
        <v>374</v>
      </c>
      <c r="L212" s="117" t="s">
        <v>374</v>
      </c>
      <c r="M212" s="117" t="s">
        <v>374</v>
      </c>
      <c r="N212" s="118" t="s">
        <v>374</v>
      </c>
      <c r="O212" s="65" t="s">
        <v>374</v>
      </c>
      <c r="P212" s="65" t="s">
        <v>374</v>
      </c>
    </row>
    <row r="213" spans="1:23" ht="15.75" customHeight="1">
      <c r="A213" s="120" t="s">
        <v>489</v>
      </c>
      <c r="B213" s="26">
        <f t="shared" si="9"/>
        <v>1239</v>
      </c>
      <c r="C213" s="24">
        <f>'c-10'!E50</f>
        <v>316</v>
      </c>
      <c r="D213" s="121" t="s">
        <v>374</v>
      </c>
      <c r="E213" s="117" t="s">
        <v>374</v>
      </c>
      <c r="F213" s="117" t="s">
        <v>374</v>
      </c>
      <c r="G213" s="117" t="s">
        <v>374</v>
      </c>
      <c r="H213" s="65">
        <f>'c-17'!F45</f>
        <v>923</v>
      </c>
      <c r="I213" s="64" t="s">
        <v>374</v>
      </c>
      <c r="J213" s="117" t="s">
        <v>374</v>
      </c>
      <c r="K213" s="117" t="s">
        <v>374</v>
      </c>
      <c r="L213" s="117" t="s">
        <v>374</v>
      </c>
      <c r="M213" s="117" t="s">
        <v>374</v>
      </c>
      <c r="N213" s="118" t="s">
        <v>374</v>
      </c>
      <c r="O213" s="65" t="s">
        <v>374</v>
      </c>
      <c r="P213" s="65" t="s">
        <v>374</v>
      </c>
    </row>
    <row r="214" spans="1:23" ht="15.75" customHeight="1">
      <c r="A214" s="120" t="s">
        <v>886</v>
      </c>
      <c r="B214" s="26">
        <f>SUM(C214:P214)</f>
        <v>1075</v>
      </c>
      <c r="C214" s="24">
        <f>'c-10'!E51</f>
        <v>27</v>
      </c>
      <c r="D214" s="121" t="s">
        <v>374</v>
      </c>
      <c r="E214" s="117" t="s">
        <v>374</v>
      </c>
      <c r="F214" s="117">
        <f>'c-14'!F29</f>
        <v>208</v>
      </c>
      <c r="G214" s="117">
        <f>'c-12'!F19</f>
        <v>72</v>
      </c>
      <c r="H214" s="65">
        <f>'c-17'!F51</f>
        <v>49</v>
      </c>
      <c r="I214" s="64" t="s">
        <v>374</v>
      </c>
      <c r="J214" s="117" t="s">
        <v>374</v>
      </c>
      <c r="K214" s="117" t="s">
        <v>374</v>
      </c>
      <c r="L214" s="117" t="s">
        <v>374</v>
      </c>
      <c r="M214" s="117">
        <f>'c-22'!F20</f>
        <v>92</v>
      </c>
      <c r="N214" s="118">
        <f>'c-16'!F42</f>
        <v>627</v>
      </c>
      <c r="O214" s="65" t="s">
        <v>374</v>
      </c>
      <c r="P214" s="65" t="s">
        <v>374</v>
      </c>
    </row>
    <row r="215" spans="1:23" ht="15.75" customHeight="1">
      <c r="A215" s="120" t="s">
        <v>490</v>
      </c>
      <c r="B215" s="26">
        <f t="shared" si="9"/>
        <v>822</v>
      </c>
      <c r="C215" s="24">
        <f>'c-10'!E70</f>
        <v>161</v>
      </c>
      <c r="D215" s="121" t="s">
        <v>374</v>
      </c>
      <c r="E215" s="117" t="s">
        <v>374</v>
      </c>
      <c r="F215" s="117" t="s">
        <v>374</v>
      </c>
      <c r="G215" s="24">
        <f>'c-12'!F26</f>
        <v>108</v>
      </c>
      <c r="H215" s="134">
        <f>'c-17'!F65</f>
        <v>553</v>
      </c>
      <c r="I215" s="64" t="s">
        <v>374</v>
      </c>
      <c r="J215" s="117" t="s">
        <v>374</v>
      </c>
      <c r="K215" s="117" t="s">
        <v>374</v>
      </c>
      <c r="L215" s="117" t="s">
        <v>374</v>
      </c>
      <c r="M215" s="117" t="s">
        <v>374</v>
      </c>
      <c r="N215" s="118" t="s">
        <v>374</v>
      </c>
      <c r="O215" s="65" t="s">
        <v>374</v>
      </c>
      <c r="P215" s="65" t="s">
        <v>374</v>
      </c>
    </row>
    <row r="216" spans="1:23" s="91" customFormat="1" ht="15.75" customHeight="1">
      <c r="A216" s="120" t="s">
        <v>887</v>
      </c>
      <c r="B216" s="26">
        <f>SUM(C216:P216)</f>
        <v>676</v>
      </c>
      <c r="C216" s="24">
        <f>'c-10'!E81</f>
        <v>47</v>
      </c>
      <c r="D216" s="121" t="s">
        <v>374</v>
      </c>
      <c r="E216" s="117" t="s">
        <v>374</v>
      </c>
      <c r="F216" s="117">
        <f>'c-14'!F41</f>
        <v>424</v>
      </c>
      <c r="G216" s="117" t="s">
        <v>374</v>
      </c>
      <c r="H216" s="134">
        <f>'c-17'!F81</f>
        <v>0</v>
      </c>
      <c r="I216" s="64" t="s">
        <v>374</v>
      </c>
      <c r="J216" s="117" t="s">
        <v>374</v>
      </c>
      <c r="K216" s="117" t="s">
        <v>374</v>
      </c>
      <c r="L216" s="117" t="s">
        <v>374</v>
      </c>
      <c r="M216" s="117">
        <f>'c-22'!F32</f>
        <v>205</v>
      </c>
      <c r="N216" s="118" t="s">
        <v>374</v>
      </c>
      <c r="O216" s="65" t="s">
        <v>374</v>
      </c>
      <c r="P216" s="65" t="s">
        <v>374</v>
      </c>
      <c r="V216" s="35"/>
      <c r="W216" s="35"/>
    </row>
    <row r="217" spans="1:23" ht="15.75" customHeight="1">
      <c r="A217" s="120" t="s">
        <v>159</v>
      </c>
      <c r="B217" s="26">
        <f t="shared" si="9"/>
        <v>641</v>
      </c>
      <c r="C217" s="24">
        <f>'c-10'!E90</f>
        <v>230</v>
      </c>
      <c r="D217" s="121" t="s">
        <v>374</v>
      </c>
      <c r="E217" s="117" t="s">
        <v>374</v>
      </c>
      <c r="F217" s="64" t="s">
        <v>374</v>
      </c>
      <c r="G217" s="117" t="s">
        <v>374</v>
      </c>
      <c r="H217" s="65">
        <f>'c-17'!F84</f>
        <v>411</v>
      </c>
      <c r="I217" s="64" t="s">
        <v>374</v>
      </c>
      <c r="J217" s="117" t="s">
        <v>374</v>
      </c>
      <c r="K217" s="117" t="s">
        <v>374</v>
      </c>
      <c r="L217" s="117" t="s">
        <v>374</v>
      </c>
      <c r="M217" s="117" t="s">
        <v>374</v>
      </c>
      <c r="N217" s="118" t="s">
        <v>374</v>
      </c>
      <c r="O217" s="65" t="s">
        <v>374</v>
      </c>
      <c r="P217" s="65" t="s">
        <v>374</v>
      </c>
    </row>
    <row r="218" spans="1:23" ht="15.75" customHeight="1">
      <c r="A218" s="120" t="s">
        <v>186</v>
      </c>
      <c r="B218" s="26">
        <f t="shared" si="9"/>
        <v>305</v>
      </c>
      <c r="C218" s="24">
        <f>'c-10'!E91</f>
        <v>90</v>
      </c>
      <c r="D218" s="121" t="s">
        <v>374</v>
      </c>
      <c r="E218" s="117" t="s">
        <v>374</v>
      </c>
      <c r="F218" s="64" t="s">
        <v>374</v>
      </c>
      <c r="G218" s="117" t="s">
        <v>374</v>
      </c>
      <c r="H218" s="65">
        <f>'c-17'!F85</f>
        <v>215</v>
      </c>
      <c r="I218" s="64" t="s">
        <v>374</v>
      </c>
      <c r="J218" s="117" t="s">
        <v>374</v>
      </c>
      <c r="K218" s="117" t="s">
        <v>374</v>
      </c>
      <c r="L218" s="117" t="s">
        <v>374</v>
      </c>
      <c r="M218" s="117" t="s">
        <v>374</v>
      </c>
      <c r="N218" s="117" t="s">
        <v>374</v>
      </c>
      <c r="O218" s="65" t="s">
        <v>374</v>
      </c>
      <c r="P218" s="65" t="s">
        <v>374</v>
      </c>
    </row>
    <row r="219" spans="1:23" ht="15.75" customHeight="1">
      <c r="A219" s="120" t="s">
        <v>187</v>
      </c>
      <c r="B219" s="26">
        <f t="shared" si="9"/>
        <v>381</v>
      </c>
      <c r="C219" s="24">
        <f>'c-10'!E100</f>
        <v>143</v>
      </c>
      <c r="D219" s="121" t="s">
        <v>374</v>
      </c>
      <c r="E219" s="117" t="s">
        <v>374</v>
      </c>
      <c r="F219" s="117" t="s">
        <v>374</v>
      </c>
      <c r="G219" s="117" t="s">
        <v>374</v>
      </c>
      <c r="H219" s="65">
        <f>'c-17'!F94</f>
        <v>238</v>
      </c>
      <c r="I219" s="64" t="s">
        <v>374</v>
      </c>
      <c r="J219" s="117" t="s">
        <v>374</v>
      </c>
      <c r="K219" s="117" t="s">
        <v>374</v>
      </c>
      <c r="L219" s="117" t="s">
        <v>374</v>
      </c>
      <c r="M219" s="117" t="s">
        <v>374</v>
      </c>
      <c r="N219" s="65" t="s">
        <v>374</v>
      </c>
      <c r="O219" s="65" t="s">
        <v>374</v>
      </c>
      <c r="P219" s="65" t="s">
        <v>374</v>
      </c>
    </row>
    <row r="220" spans="1:23" ht="15.75" customHeight="1">
      <c r="A220" s="120" t="s">
        <v>160</v>
      </c>
      <c r="B220" s="26">
        <f t="shared" si="9"/>
        <v>929</v>
      </c>
      <c r="C220" s="24">
        <f>'c-10'!E101</f>
        <v>556</v>
      </c>
      <c r="D220" s="121" t="s">
        <v>374</v>
      </c>
      <c r="E220" s="64" t="s">
        <v>374</v>
      </c>
      <c r="F220" s="64" t="s">
        <v>374</v>
      </c>
      <c r="G220" s="117" t="s">
        <v>374</v>
      </c>
      <c r="H220" s="65">
        <f>'c-17'!F95</f>
        <v>373</v>
      </c>
      <c r="I220" s="64" t="s">
        <v>374</v>
      </c>
      <c r="J220" s="117" t="s">
        <v>374</v>
      </c>
      <c r="K220" s="117" t="s">
        <v>374</v>
      </c>
      <c r="L220" s="117" t="s">
        <v>374</v>
      </c>
      <c r="M220" s="64" t="s">
        <v>374</v>
      </c>
      <c r="N220" s="118" t="s">
        <v>374</v>
      </c>
      <c r="O220" s="65" t="s">
        <v>374</v>
      </c>
      <c r="P220" s="65" t="s">
        <v>374</v>
      </c>
      <c r="V220" s="91"/>
      <c r="W220" s="91"/>
    </row>
    <row r="221" spans="1:23" ht="15.75" customHeight="1">
      <c r="A221" s="120" t="s">
        <v>491</v>
      </c>
      <c r="B221" s="26">
        <f t="shared" si="9"/>
        <v>1197</v>
      </c>
      <c r="C221" s="24">
        <f>'c-10'!E110</f>
        <v>84</v>
      </c>
      <c r="D221" s="121" t="s">
        <v>374</v>
      </c>
      <c r="E221" s="117" t="s">
        <v>374</v>
      </c>
      <c r="F221" s="65">
        <f>'c-14'!F53</f>
        <v>265</v>
      </c>
      <c r="G221" s="64" t="s">
        <v>374</v>
      </c>
      <c r="H221" s="65">
        <f>'c-17'!F105</f>
        <v>189</v>
      </c>
      <c r="I221" s="64" t="s">
        <v>374</v>
      </c>
      <c r="J221" s="117" t="s">
        <v>374</v>
      </c>
      <c r="K221" s="117" t="s">
        <v>374</v>
      </c>
      <c r="L221" s="117" t="s">
        <v>374</v>
      </c>
      <c r="M221" s="64">
        <f>'c-22'!F44</f>
        <v>125</v>
      </c>
      <c r="N221" s="24">
        <f>'c-16'!F87</f>
        <v>534</v>
      </c>
      <c r="O221" s="65" t="s">
        <v>374</v>
      </c>
      <c r="P221" s="65" t="s">
        <v>374</v>
      </c>
      <c r="V221" s="91"/>
      <c r="W221" s="91"/>
    </row>
    <row r="222" spans="1:23" ht="15.75" customHeight="1">
      <c r="A222" s="120" t="s">
        <v>492</v>
      </c>
      <c r="B222" s="26">
        <f t="shared" si="9"/>
        <v>1502</v>
      </c>
      <c r="C222" s="24">
        <f>'c-10'!E128</f>
        <v>193</v>
      </c>
      <c r="D222" s="121" t="s">
        <v>374</v>
      </c>
      <c r="E222" s="117" t="s">
        <v>374</v>
      </c>
      <c r="F222" s="65">
        <f>'c-14'!F61</f>
        <v>298</v>
      </c>
      <c r="G222" s="64" t="s">
        <v>374</v>
      </c>
      <c r="H222" s="65">
        <f>'c-17'!F123</f>
        <v>161</v>
      </c>
      <c r="I222" s="64" t="s">
        <v>374</v>
      </c>
      <c r="J222" s="117" t="s">
        <v>374</v>
      </c>
      <c r="K222" s="117" t="s">
        <v>374</v>
      </c>
      <c r="L222" s="117" t="s">
        <v>374</v>
      </c>
      <c r="M222" s="64">
        <f>'c-22'!F52</f>
        <v>114</v>
      </c>
      <c r="N222" s="24">
        <f>'c-16'!F101</f>
        <v>736</v>
      </c>
      <c r="O222" s="65" t="s">
        <v>374</v>
      </c>
      <c r="P222" s="65" t="s">
        <v>374</v>
      </c>
      <c r="V222" s="91"/>
      <c r="W222" s="91"/>
    </row>
    <row r="223" spans="1:23" ht="15.75" customHeight="1">
      <c r="A223" s="120" t="s">
        <v>493</v>
      </c>
      <c r="B223" s="26">
        <f t="shared" si="9"/>
        <v>1017</v>
      </c>
      <c r="C223" s="24">
        <f>'c-10'!E129</f>
        <v>67</v>
      </c>
      <c r="D223" s="121" t="s">
        <v>374</v>
      </c>
      <c r="E223" s="117" t="s">
        <v>374</v>
      </c>
      <c r="F223" s="65">
        <f>'c-14'!F62</f>
        <v>223</v>
      </c>
      <c r="G223" s="64" t="s">
        <v>374</v>
      </c>
      <c r="H223" s="65">
        <f>'c-17'!F124</f>
        <v>84</v>
      </c>
      <c r="I223" s="64" t="s">
        <v>374</v>
      </c>
      <c r="J223" s="117" t="s">
        <v>374</v>
      </c>
      <c r="K223" s="117" t="s">
        <v>374</v>
      </c>
      <c r="L223" s="117" t="s">
        <v>374</v>
      </c>
      <c r="M223" s="64">
        <f>'c-22'!F51</f>
        <v>63</v>
      </c>
      <c r="N223" s="24">
        <f>'c-16'!F102</f>
        <v>580</v>
      </c>
      <c r="O223" s="65" t="s">
        <v>374</v>
      </c>
      <c r="P223" s="65" t="s">
        <v>374</v>
      </c>
      <c r="V223" s="91"/>
      <c r="W223" s="91"/>
    </row>
    <row r="224" spans="1:23" ht="15.75" customHeight="1">
      <c r="A224" s="120" t="s">
        <v>494</v>
      </c>
      <c r="B224" s="26">
        <f t="shared" si="9"/>
        <v>379</v>
      </c>
      <c r="C224" s="24">
        <f>'c-10'!E127</f>
        <v>151</v>
      </c>
      <c r="D224" s="121" t="s">
        <v>374</v>
      </c>
      <c r="E224" s="117" t="s">
        <v>374</v>
      </c>
      <c r="F224" s="117" t="s">
        <v>374</v>
      </c>
      <c r="G224" s="117" t="s">
        <v>374</v>
      </c>
      <c r="H224" s="65">
        <f>'c-17'!F122</f>
        <v>228</v>
      </c>
      <c r="I224" s="64" t="s">
        <v>374</v>
      </c>
      <c r="J224" s="117" t="s">
        <v>374</v>
      </c>
      <c r="K224" s="117" t="s">
        <v>374</v>
      </c>
      <c r="L224" s="117" t="s">
        <v>374</v>
      </c>
      <c r="M224" s="64" t="s">
        <v>374</v>
      </c>
      <c r="N224" s="118" t="s">
        <v>374</v>
      </c>
      <c r="O224" s="65" t="s">
        <v>374</v>
      </c>
      <c r="P224" s="65" t="s">
        <v>374</v>
      </c>
    </row>
    <row r="225" spans="1:23" ht="15.75" customHeight="1">
      <c r="A225" s="132" t="s">
        <v>528</v>
      </c>
      <c r="B225" s="26">
        <f>SUM(C225:P225)</f>
        <v>1165</v>
      </c>
      <c r="C225" s="117">
        <f>'c-10'!E122</f>
        <v>48</v>
      </c>
      <c r="D225" s="121" t="s">
        <v>374</v>
      </c>
      <c r="E225" s="117" t="s">
        <v>374</v>
      </c>
      <c r="F225" s="117">
        <f>'c-14'!F57</f>
        <v>194</v>
      </c>
      <c r="G225" s="117">
        <f>'c-12'!F39</f>
        <v>76</v>
      </c>
      <c r="H225" s="117">
        <f>'c-17'!F117</f>
        <v>76</v>
      </c>
      <c r="I225" s="117" t="s">
        <v>374</v>
      </c>
      <c r="J225" s="117" t="s">
        <v>374</v>
      </c>
      <c r="K225" s="117" t="s">
        <v>374</v>
      </c>
      <c r="L225" s="117" t="s">
        <v>374</v>
      </c>
      <c r="M225" s="64">
        <f>'c-22'!F48</f>
        <v>59</v>
      </c>
      <c r="N225" s="117">
        <f>'c-16'!F97</f>
        <v>712</v>
      </c>
      <c r="O225" s="118" t="s">
        <v>374</v>
      </c>
      <c r="P225" s="66" t="s">
        <v>374</v>
      </c>
    </row>
    <row r="226" spans="1:23" ht="15.75" customHeight="1">
      <c r="A226" s="113"/>
      <c r="B226" s="26"/>
      <c r="C226" s="51"/>
      <c r="D226" s="51"/>
      <c r="E226" s="51"/>
      <c r="F226" s="26"/>
      <c r="G226" s="51"/>
      <c r="H226" s="51"/>
      <c r="I226" s="51"/>
      <c r="J226" s="51"/>
      <c r="K226" s="51"/>
      <c r="L226" s="117"/>
      <c r="M226" s="51"/>
      <c r="N226" s="21"/>
      <c r="O226" s="65"/>
      <c r="P226" s="65"/>
    </row>
    <row r="227" spans="1:23" ht="15.75" customHeight="1">
      <c r="A227" s="106" t="s">
        <v>495</v>
      </c>
      <c r="B227" s="97">
        <f>SUM(B229:B237)</f>
        <v>17003</v>
      </c>
      <c r="C227" s="97" t="s">
        <v>374</v>
      </c>
      <c r="D227" s="97" t="s">
        <v>374</v>
      </c>
      <c r="E227" s="97" t="s">
        <v>374</v>
      </c>
      <c r="F227" s="97">
        <f>SUM(F229:F237)</f>
        <v>5800</v>
      </c>
      <c r="G227" s="97" t="s">
        <v>374</v>
      </c>
      <c r="H227" s="97" t="s">
        <v>374</v>
      </c>
      <c r="I227" s="97" t="s">
        <v>374</v>
      </c>
      <c r="J227" s="97" t="s">
        <v>374</v>
      </c>
      <c r="K227" s="97" t="s">
        <v>374</v>
      </c>
      <c r="L227" s="97" t="s">
        <v>374</v>
      </c>
      <c r="M227" s="97">
        <f>SUM(M229:M237)</f>
        <v>1920</v>
      </c>
      <c r="N227" s="97">
        <f>SUM(N229:N237)</f>
        <v>9283</v>
      </c>
      <c r="O227" s="112" t="s">
        <v>374</v>
      </c>
      <c r="P227" s="112" t="s">
        <v>374</v>
      </c>
    </row>
    <row r="228" spans="1:23" ht="15.75" customHeight="1">
      <c r="A228" s="120"/>
      <c r="B228" s="64"/>
      <c r="C228" s="117"/>
      <c r="D228" s="117"/>
      <c r="E228" s="117"/>
      <c r="F228" s="64"/>
      <c r="G228" s="51"/>
      <c r="H228" s="51"/>
      <c r="I228" s="51"/>
      <c r="J228" s="51"/>
      <c r="K228" s="51"/>
      <c r="L228" s="117"/>
      <c r="M228" s="117"/>
      <c r="N228" s="118"/>
      <c r="O228" s="65"/>
      <c r="P228" s="65"/>
    </row>
    <row r="229" spans="1:23" ht="15.75" customHeight="1">
      <c r="A229" s="120" t="s">
        <v>496</v>
      </c>
      <c r="B229" s="26">
        <f t="shared" ref="B229:B237" si="10">SUM(C229:P229)</f>
        <v>1181</v>
      </c>
      <c r="C229" s="117" t="s">
        <v>374</v>
      </c>
      <c r="D229" s="117" t="s">
        <v>374</v>
      </c>
      <c r="E229" s="117" t="s">
        <v>374</v>
      </c>
      <c r="F229" s="24">
        <f>'c-14'!F56</f>
        <v>865</v>
      </c>
      <c r="G229" s="117" t="s">
        <v>374</v>
      </c>
      <c r="H229" s="117" t="s">
        <v>374</v>
      </c>
      <c r="I229" s="117" t="s">
        <v>374</v>
      </c>
      <c r="J229" s="117" t="s">
        <v>374</v>
      </c>
      <c r="K229" s="117" t="s">
        <v>374</v>
      </c>
      <c r="L229" s="117" t="s">
        <v>374</v>
      </c>
      <c r="M229" s="24">
        <f>'c-22'!F47</f>
        <v>316</v>
      </c>
      <c r="N229" s="66" t="s">
        <v>374</v>
      </c>
      <c r="O229" s="65" t="s">
        <v>374</v>
      </c>
      <c r="P229" s="65" t="s">
        <v>374</v>
      </c>
    </row>
    <row r="230" spans="1:23" ht="15.75" customHeight="1">
      <c r="A230" s="120" t="s">
        <v>177</v>
      </c>
      <c r="B230" s="26">
        <f t="shared" si="10"/>
        <v>2090</v>
      </c>
      <c r="C230" s="117" t="s">
        <v>374</v>
      </c>
      <c r="D230" s="117" t="s">
        <v>374</v>
      </c>
      <c r="E230" s="117" t="s">
        <v>374</v>
      </c>
      <c r="F230" s="65">
        <f>'c-14'!F32</f>
        <v>1013</v>
      </c>
      <c r="G230" s="64" t="s">
        <v>374</v>
      </c>
      <c r="H230" s="117" t="s">
        <v>374</v>
      </c>
      <c r="I230" s="117" t="s">
        <v>374</v>
      </c>
      <c r="J230" s="117" t="s">
        <v>374</v>
      </c>
      <c r="K230" s="117" t="s">
        <v>374</v>
      </c>
      <c r="L230" s="117" t="s">
        <v>374</v>
      </c>
      <c r="M230" s="64">
        <f>'c-22'!F23</f>
        <v>183</v>
      </c>
      <c r="N230" s="24">
        <f>'c-16'!F46</f>
        <v>894</v>
      </c>
      <c r="O230" s="65" t="s">
        <v>374</v>
      </c>
      <c r="P230" s="65" t="s">
        <v>374</v>
      </c>
    </row>
    <row r="231" spans="1:23" ht="15.75" customHeight="1">
      <c r="A231" s="120" t="s">
        <v>497</v>
      </c>
      <c r="B231" s="26">
        <f t="shared" si="10"/>
        <v>1791</v>
      </c>
      <c r="C231" s="117" t="s">
        <v>374</v>
      </c>
      <c r="D231" s="117" t="s">
        <v>374</v>
      </c>
      <c r="E231" s="117" t="s">
        <v>374</v>
      </c>
      <c r="F231" s="65">
        <f>'c-14'!F33</f>
        <v>727</v>
      </c>
      <c r="G231" s="64" t="s">
        <v>374</v>
      </c>
      <c r="H231" s="117" t="s">
        <v>374</v>
      </c>
      <c r="I231" s="117" t="s">
        <v>374</v>
      </c>
      <c r="J231" s="117" t="s">
        <v>374</v>
      </c>
      <c r="K231" s="117" t="s">
        <v>374</v>
      </c>
      <c r="L231" s="117" t="s">
        <v>374</v>
      </c>
      <c r="M231" s="64">
        <f>'c-22'!F24</f>
        <v>173</v>
      </c>
      <c r="N231" s="24">
        <f>'c-16'!F45</f>
        <v>891</v>
      </c>
      <c r="O231" s="65" t="s">
        <v>374</v>
      </c>
      <c r="P231" s="65" t="s">
        <v>374</v>
      </c>
    </row>
    <row r="232" spans="1:23" s="91" customFormat="1" ht="15.75" customHeight="1">
      <c r="A232" s="120" t="s">
        <v>181</v>
      </c>
      <c r="B232" s="26">
        <f t="shared" si="10"/>
        <v>2182</v>
      </c>
      <c r="C232" s="117" t="s">
        <v>374</v>
      </c>
      <c r="D232" s="117" t="s">
        <v>374</v>
      </c>
      <c r="E232" s="117" t="s">
        <v>374</v>
      </c>
      <c r="F232" s="65">
        <f>'c-14'!F37</f>
        <v>599</v>
      </c>
      <c r="G232" s="64" t="s">
        <v>374</v>
      </c>
      <c r="H232" s="117" t="s">
        <v>374</v>
      </c>
      <c r="I232" s="117" t="s">
        <v>374</v>
      </c>
      <c r="J232" s="117" t="s">
        <v>374</v>
      </c>
      <c r="K232" s="117" t="s">
        <v>374</v>
      </c>
      <c r="L232" s="117" t="s">
        <v>374</v>
      </c>
      <c r="M232" s="64">
        <f>'c-22'!F28</f>
        <v>167</v>
      </c>
      <c r="N232" s="24">
        <f>'c-16'!F54</f>
        <v>1416</v>
      </c>
      <c r="O232" s="65" t="s">
        <v>374</v>
      </c>
      <c r="P232" s="65" t="s">
        <v>374</v>
      </c>
      <c r="V232" s="35"/>
      <c r="W232" s="35"/>
    </row>
    <row r="233" spans="1:23" ht="15.75" customHeight="1">
      <c r="A233" s="120" t="s">
        <v>185</v>
      </c>
      <c r="B233" s="26">
        <f t="shared" si="10"/>
        <v>2490</v>
      </c>
      <c r="C233" s="117" t="s">
        <v>374</v>
      </c>
      <c r="D233" s="117" t="s">
        <v>374</v>
      </c>
      <c r="E233" s="117" t="s">
        <v>374</v>
      </c>
      <c r="F233" s="65">
        <f>'c-14'!F44</f>
        <v>841</v>
      </c>
      <c r="G233" s="64" t="s">
        <v>374</v>
      </c>
      <c r="H233" s="117" t="s">
        <v>374</v>
      </c>
      <c r="I233" s="117" t="s">
        <v>374</v>
      </c>
      <c r="J233" s="117" t="s">
        <v>374</v>
      </c>
      <c r="K233" s="117" t="s">
        <v>374</v>
      </c>
      <c r="L233" s="117" t="s">
        <v>374</v>
      </c>
      <c r="M233" s="64">
        <f>'c-22'!F35</f>
        <v>319</v>
      </c>
      <c r="N233" s="24">
        <f>'c-16'!F70</f>
        <v>1330</v>
      </c>
      <c r="O233" s="65" t="s">
        <v>374</v>
      </c>
      <c r="P233" s="65" t="s">
        <v>374</v>
      </c>
    </row>
    <row r="234" spans="1:23" ht="15.75" customHeight="1">
      <c r="A234" s="120" t="s">
        <v>186</v>
      </c>
      <c r="B234" s="26">
        <f t="shared" si="10"/>
        <v>1338</v>
      </c>
      <c r="C234" s="117" t="s">
        <v>374</v>
      </c>
      <c r="D234" s="117" t="s">
        <v>374</v>
      </c>
      <c r="E234" s="117" t="s">
        <v>374</v>
      </c>
      <c r="F234" s="418">
        <f>'c-14'!F45</f>
        <v>396</v>
      </c>
      <c r="G234" s="117" t="s">
        <v>374</v>
      </c>
      <c r="H234" s="117" t="s">
        <v>374</v>
      </c>
      <c r="I234" s="64" t="s">
        <v>374</v>
      </c>
      <c r="J234" s="117" t="s">
        <v>374</v>
      </c>
      <c r="K234" s="117" t="s">
        <v>374</v>
      </c>
      <c r="L234" s="117" t="s">
        <v>374</v>
      </c>
      <c r="M234" s="64">
        <f>'c-22'!F36</f>
        <v>258</v>
      </c>
      <c r="N234" s="24">
        <f>'c-16'!F71</f>
        <v>684</v>
      </c>
      <c r="O234" s="65" t="s">
        <v>374</v>
      </c>
      <c r="P234" s="65" t="s">
        <v>374</v>
      </c>
    </row>
    <row r="235" spans="1:23" ht="15.75" customHeight="1">
      <c r="A235" s="120" t="s">
        <v>499</v>
      </c>
      <c r="B235" s="26">
        <f t="shared" si="10"/>
        <v>1741</v>
      </c>
      <c r="C235" s="117" t="s">
        <v>374</v>
      </c>
      <c r="D235" s="117" t="s">
        <v>374</v>
      </c>
      <c r="E235" s="117" t="s">
        <v>374</v>
      </c>
      <c r="F235" s="65">
        <f>'c-14'!F48</f>
        <v>329</v>
      </c>
      <c r="G235" s="64" t="s">
        <v>374</v>
      </c>
      <c r="H235" s="117" t="s">
        <v>374</v>
      </c>
      <c r="I235" s="117" t="s">
        <v>374</v>
      </c>
      <c r="J235" s="117" t="s">
        <v>374</v>
      </c>
      <c r="K235" s="117" t="s">
        <v>374</v>
      </c>
      <c r="L235" s="117" t="s">
        <v>374</v>
      </c>
      <c r="M235" s="64">
        <f>'c-22'!F39</f>
        <v>143</v>
      </c>
      <c r="N235" s="24">
        <f>'c-16'!F78</f>
        <v>1269</v>
      </c>
      <c r="O235" s="65" t="s">
        <v>374</v>
      </c>
      <c r="P235" s="65" t="s">
        <v>374</v>
      </c>
    </row>
    <row r="236" spans="1:23" ht="15.75" customHeight="1">
      <c r="A236" s="120" t="s">
        <v>500</v>
      </c>
      <c r="B236" s="26">
        <f t="shared" si="10"/>
        <v>2501</v>
      </c>
      <c r="C236" s="117" t="s">
        <v>374</v>
      </c>
      <c r="D236" s="117" t="s">
        <v>374</v>
      </c>
      <c r="E236" s="117" t="s">
        <v>374</v>
      </c>
      <c r="F236" s="65">
        <f>'c-14'!F49</f>
        <v>351</v>
      </c>
      <c r="G236" s="64" t="s">
        <v>374</v>
      </c>
      <c r="H236" s="117" t="s">
        <v>374</v>
      </c>
      <c r="I236" s="117" t="s">
        <v>374</v>
      </c>
      <c r="J236" s="117" t="s">
        <v>374</v>
      </c>
      <c r="K236" s="117" t="s">
        <v>374</v>
      </c>
      <c r="L236" s="117" t="s">
        <v>374</v>
      </c>
      <c r="M236" s="64">
        <f>'c-22'!F40</f>
        <v>173</v>
      </c>
      <c r="N236" s="24">
        <f>'c-16'!F79</f>
        <v>1977</v>
      </c>
      <c r="O236" s="65" t="s">
        <v>374</v>
      </c>
      <c r="P236" s="65" t="s">
        <v>374</v>
      </c>
    </row>
    <row r="237" spans="1:23" ht="15.75" customHeight="1">
      <c r="A237" s="120" t="s">
        <v>501</v>
      </c>
      <c r="B237" s="26">
        <f t="shared" si="10"/>
        <v>1689</v>
      </c>
      <c r="C237" s="117" t="s">
        <v>374</v>
      </c>
      <c r="D237" s="117" t="s">
        <v>374</v>
      </c>
      <c r="E237" s="117" t="s">
        <v>374</v>
      </c>
      <c r="F237" s="65">
        <f>'c-14'!F60</f>
        <v>679</v>
      </c>
      <c r="G237" s="64" t="s">
        <v>374</v>
      </c>
      <c r="H237" s="117" t="s">
        <v>374</v>
      </c>
      <c r="I237" s="117" t="s">
        <v>374</v>
      </c>
      <c r="J237" s="117" t="s">
        <v>374</v>
      </c>
      <c r="K237" s="117" t="s">
        <v>374</v>
      </c>
      <c r="L237" s="117" t="s">
        <v>374</v>
      </c>
      <c r="M237" s="117">
        <f>'c-22'!F53</f>
        <v>188</v>
      </c>
      <c r="N237" s="118">
        <f>'c-16'!F100</f>
        <v>822</v>
      </c>
      <c r="O237" s="65" t="s">
        <v>374</v>
      </c>
      <c r="P237" s="65" t="s">
        <v>374</v>
      </c>
    </row>
    <row r="238" spans="1:23" ht="15.75" customHeight="1">
      <c r="A238" s="133"/>
      <c r="B238" s="107"/>
      <c r="C238" s="114"/>
      <c r="D238" s="114"/>
      <c r="E238" s="114"/>
      <c r="F238" s="107"/>
      <c r="G238" s="114"/>
      <c r="H238" s="114"/>
      <c r="I238" s="114"/>
      <c r="J238" s="114"/>
      <c r="K238" s="114"/>
      <c r="L238" s="117"/>
      <c r="M238" s="114"/>
      <c r="N238" s="24"/>
      <c r="O238" s="65"/>
      <c r="P238" s="65"/>
    </row>
    <row r="239" spans="1:23" ht="15.75" customHeight="1">
      <c r="A239" s="106" t="s">
        <v>502</v>
      </c>
      <c r="B239" s="62">
        <f>SUM(B241:B248)</f>
        <v>22753</v>
      </c>
      <c r="C239" s="62">
        <f>SUM(C241:C248)</f>
        <v>5423</v>
      </c>
      <c r="D239" s="62">
        <f>SUM(D241:D248)</f>
        <v>17330</v>
      </c>
      <c r="E239" s="97" t="s">
        <v>374</v>
      </c>
      <c r="F239" s="62" t="s">
        <v>374</v>
      </c>
      <c r="G239" s="97" t="s">
        <v>374</v>
      </c>
      <c r="H239" s="97" t="s">
        <v>374</v>
      </c>
      <c r="I239" s="97" t="s">
        <v>374</v>
      </c>
      <c r="J239" s="97" t="s">
        <v>374</v>
      </c>
      <c r="K239" s="97" t="s">
        <v>374</v>
      </c>
      <c r="L239" s="97" t="s">
        <v>374</v>
      </c>
      <c r="M239" s="97" t="s">
        <v>374</v>
      </c>
      <c r="N239" s="98" t="s">
        <v>374</v>
      </c>
      <c r="O239" s="112" t="s">
        <v>374</v>
      </c>
      <c r="P239" s="112" t="s">
        <v>374</v>
      </c>
    </row>
    <row r="240" spans="1:23" ht="15.75" customHeight="1">
      <c r="A240" s="120"/>
      <c r="B240" s="64"/>
      <c r="C240" s="64"/>
      <c r="D240" s="117"/>
      <c r="E240" s="51"/>
      <c r="F240" s="26"/>
      <c r="G240" s="51"/>
      <c r="H240" s="51"/>
      <c r="I240" s="51"/>
      <c r="J240" s="51"/>
      <c r="K240" s="51"/>
      <c r="L240" s="117"/>
      <c r="M240" s="51"/>
      <c r="N240" s="21"/>
      <c r="O240" s="65"/>
      <c r="P240" s="65"/>
    </row>
    <row r="241" spans="1:23" ht="15.75" customHeight="1">
      <c r="A241" s="120" t="s">
        <v>503</v>
      </c>
      <c r="B241" s="26">
        <f t="shared" ref="B241:B248" si="11">SUM(C241:P241)</f>
        <v>1432</v>
      </c>
      <c r="C241" s="64">
        <f>'c-10'!E18</f>
        <v>1432</v>
      </c>
      <c r="D241" s="141" t="s">
        <v>374</v>
      </c>
      <c r="E241" s="64" t="s">
        <v>374</v>
      </c>
      <c r="F241" s="117" t="s">
        <v>374</v>
      </c>
      <c r="G241" s="117" t="s">
        <v>374</v>
      </c>
      <c r="H241" s="117" t="s">
        <v>374</v>
      </c>
      <c r="I241" s="117" t="s">
        <v>374</v>
      </c>
      <c r="J241" s="117" t="s">
        <v>374</v>
      </c>
      <c r="K241" s="117" t="s">
        <v>374</v>
      </c>
      <c r="L241" s="117" t="s">
        <v>374</v>
      </c>
      <c r="M241" s="117" t="s">
        <v>374</v>
      </c>
      <c r="N241" s="118" t="s">
        <v>374</v>
      </c>
      <c r="O241" s="65" t="s">
        <v>374</v>
      </c>
      <c r="P241" s="65" t="s">
        <v>374</v>
      </c>
    </row>
    <row r="242" spans="1:23" ht="15.75" customHeight="1">
      <c r="A242" s="120" t="s">
        <v>504</v>
      </c>
      <c r="B242" s="26">
        <f t="shared" si="11"/>
        <v>766</v>
      </c>
      <c r="C242" s="64">
        <f>'c-10'!E19</f>
        <v>766</v>
      </c>
      <c r="D242" s="121" t="s">
        <v>374</v>
      </c>
      <c r="E242" s="117" t="s">
        <v>374</v>
      </c>
      <c r="F242" s="117" t="s">
        <v>374</v>
      </c>
      <c r="G242" s="117" t="s">
        <v>374</v>
      </c>
      <c r="H242" s="117" t="s">
        <v>374</v>
      </c>
      <c r="I242" s="117" t="s">
        <v>374</v>
      </c>
      <c r="J242" s="117" t="s">
        <v>374</v>
      </c>
      <c r="K242" s="117" t="s">
        <v>374</v>
      </c>
      <c r="L242" s="117" t="s">
        <v>374</v>
      </c>
      <c r="M242" s="117" t="s">
        <v>374</v>
      </c>
      <c r="N242" s="118" t="s">
        <v>374</v>
      </c>
      <c r="O242" s="65" t="s">
        <v>374</v>
      </c>
      <c r="P242" s="65" t="s">
        <v>374</v>
      </c>
    </row>
    <row r="243" spans="1:23" ht="15.75" customHeight="1">
      <c r="A243" s="120" t="s">
        <v>505</v>
      </c>
      <c r="B243" s="26">
        <f t="shared" si="11"/>
        <v>564</v>
      </c>
      <c r="C243" s="24">
        <f>'c-10'!E29</f>
        <v>564</v>
      </c>
      <c r="D243" s="121" t="s">
        <v>374</v>
      </c>
      <c r="E243" s="117" t="s">
        <v>374</v>
      </c>
      <c r="F243" s="117" t="s">
        <v>374</v>
      </c>
      <c r="G243" s="117" t="s">
        <v>374</v>
      </c>
      <c r="H243" s="117" t="s">
        <v>374</v>
      </c>
      <c r="I243" s="117" t="s">
        <v>374</v>
      </c>
      <c r="J243" s="117" t="s">
        <v>374</v>
      </c>
      <c r="K243" s="117" t="s">
        <v>374</v>
      </c>
      <c r="L243" s="117" t="s">
        <v>374</v>
      </c>
      <c r="M243" s="117" t="s">
        <v>374</v>
      </c>
      <c r="N243" s="118" t="s">
        <v>374</v>
      </c>
      <c r="O243" s="65" t="s">
        <v>374</v>
      </c>
      <c r="P243" s="65" t="s">
        <v>374</v>
      </c>
      <c r="V243" s="91"/>
      <c r="W243" s="91"/>
    </row>
    <row r="244" spans="1:23" ht="15.75" customHeight="1">
      <c r="A244" s="120" t="s">
        <v>506</v>
      </c>
      <c r="B244" s="26">
        <f t="shared" si="11"/>
        <v>6117</v>
      </c>
      <c r="C244" s="24">
        <f>'c-10'!E43</f>
        <v>469</v>
      </c>
      <c r="D244" s="121">
        <f>'c-11'!E21</f>
        <v>5648</v>
      </c>
      <c r="E244" s="117" t="s">
        <v>374</v>
      </c>
      <c r="F244" s="117" t="s">
        <v>374</v>
      </c>
      <c r="G244" s="117" t="s">
        <v>374</v>
      </c>
      <c r="H244" s="117" t="s">
        <v>374</v>
      </c>
      <c r="I244" s="117" t="s">
        <v>374</v>
      </c>
      <c r="J244" s="117" t="s">
        <v>374</v>
      </c>
      <c r="K244" s="117" t="s">
        <v>374</v>
      </c>
      <c r="L244" s="117" t="s">
        <v>374</v>
      </c>
      <c r="M244" s="117" t="s">
        <v>374</v>
      </c>
      <c r="N244" s="118" t="s">
        <v>374</v>
      </c>
      <c r="O244" s="65" t="s">
        <v>374</v>
      </c>
      <c r="P244" s="65" t="s">
        <v>374</v>
      </c>
    </row>
    <row r="245" spans="1:23" ht="15.75" customHeight="1">
      <c r="A245" s="120" t="s">
        <v>507</v>
      </c>
      <c r="B245" s="26">
        <f t="shared" si="11"/>
        <v>5131</v>
      </c>
      <c r="C245" s="24">
        <f>'c-10'!E71</f>
        <v>1248</v>
      </c>
      <c r="D245" s="121">
        <f>'c-11'!E31</f>
        <v>3883</v>
      </c>
      <c r="E245" s="117" t="s">
        <v>374</v>
      </c>
      <c r="F245" s="117" t="s">
        <v>374</v>
      </c>
      <c r="G245" s="117" t="s">
        <v>374</v>
      </c>
      <c r="H245" s="117" t="s">
        <v>374</v>
      </c>
      <c r="I245" s="117" t="s">
        <v>374</v>
      </c>
      <c r="J245" s="117" t="s">
        <v>374</v>
      </c>
      <c r="K245" s="117" t="s">
        <v>374</v>
      </c>
      <c r="L245" s="117" t="s">
        <v>374</v>
      </c>
      <c r="M245" s="117" t="s">
        <v>374</v>
      </c>
      <c r="N245" s="118" t="s">
        <v>374</v>
      </c>
      <c r="O245" s="65" t="s">
        <v>374</v>
      </c>
      <c r="P245" s="65" t="s">
        <v>374</v>
      </c>
    </row>
    <row r="246" spans="1:23" ht="15.75" customHeight="1">
      <c r="A246" s="120" t="s">
        <v>508</v>
      </c>
      <c r="B246" s="26">
        <f t="shared" si="11"/>
        <v>5319</v>
      </c>
      <c r="C246" s="24">
        <f>'c-10'!E82</f>
        <v>462</v>
      </c>
      <c r="D246" s="121">
        <f>'c-11'!E34</f>
        <v>4857</v>
      </c>
      <c r="E246" s="117" t="s">
        <v>374</v>
      </c>
      <c r="F246" s="117" t="s">
        <v>374</v>
      </c>
      <c r="G246" s="117" t="s">
        <v>374</v>
      </c>
      <c r="H246" s="117" t="s">
        <v>374</v>
      </c>
      <c r="I246" s="117" t="s">
        <v>374</v>
      </c>
      <c r="J246" s="117" t="s">
        <v>374</v>
      </c>
      <c r="K246" s="117" t="s">
        <v>374</v>
      </c>
      <c r="L246" s="117" t="s">
        <v>374</v>
      </c>
      <c r="M246" s="117" t="s">
        <v>374</v>
      </c>
      <c r="N246" s="118" t="s">
        <v>374</v>
      </c>
      <c r="O246" s="65" t="s">
        <v>374</v>
      </c>
      <c r="P246" s="65" t="s">
        <v>374</v>
      </c>
    </row>
    <row r="247" spans="1:23" ht="15.75" customHeight="1">
      <c r="A247" s="120" t="s">
        <v>509</v>
      </c>
      <c r="B247" s="26">
        <f t="shared" si="11"/>
        <v>1652</v>
      </c>
      <c r="C247" s="24">
        <f>'c-10'!E111</f>
        <v>228</v>
      </c>
      <c r="D247" s="121">
        <f>'c-11'!E43</f>
        <v>1424</v>
      </c>
      <c r="E247" s="117" t="s">
        <v>374</v>
      </c>
      <c r="F247" s="117" t="s">
        <v>374</v>
      </c>
      <c r="G247" s="117" t="s">
        <v>374</v>
      </c>
      <c r="H247" s="117" t="s">
        <v>374</v>
      </c>
      <c r="I247" s="117" t="s">
        <v>374</v>
      </c>
      <c r="J247" s="117" t="s">
        <v>374</v>
      </c>
      <c r="K247" s="117" t="s">
        <v>374</v>
      </c>
      <c r="L247" s="117" t="s">
        <v>374</v>
      </c>
      <c r="M247" s="117" t="s">
        <v>374</v>
      </c>
      <c r="N247" s="118" t="s">
        <v>374</v>
      </c>
      <c r="O247" s="65" t="s">
        <v>374</v>
      </c>
      <c r="P247" s="65" t="s">
        <v>374</v>
      </c>
    </row>
    <row r="248" spans="1:23" ht="15.75" customHeight="1">
      <c r="A248" s="120" t="s">
        <v>510</v>
      </c>
      <c r="B248" s="26">
        <f t="shared" si="11"/>
        <v>1772</v>
      </c>
      <c r="C248" s="24">
        <f>'c-10'!E138</f>
        <v>254</v>
      </c>
      <c r="D248" s="121">
        <f>'c-11'!E52</f>
        <v>1518</v>
      </c>
      <c r="E248" s="117" t="s">
        <v>374</v>
      </c>
      <c r="F248" s="117" t="s">
        <v>374</v>
      </c>
      <c r="G248" s="117" t="s">
        <v>374</v>
      </c>
      <c r="H248" s="117" t="s">
        <v>374</v>
      </c>
      <c r="I248" s="117" t="s">
        <v>374</v>
      </c>
      <c r="J248" s="117" t="s">
        <v>374</v>
      </c>
      <c r="K248" s="117" t="s">
        <v>374</v>
      </c>
      <c r="L248" s="117" t="s">
        <v>374</v>
      </c>
      <c r="M248" s="117" t="s">
        <v>374</v>
      </c>
      <c r="N248" s="118" t="s">
        <v>374</v>
      </c>
      <c r="O248" s="65" t="s">
        <v>374</v>
      </c>
      <c r="P248" s="65" t="s">
        <v>374</v>
      </c>
    </row>
    <row r="249" spans="1:23" ht="15.75" customHeight="1">
      <c r="A249" s="143"/>
      <c r="B249" s="71"/>
      <c r="C249" s="136"/>
      <c r="D249" s="136"/>
      <c r="E249" s="105"/>
      <c r="F249" s="105"/>
      <c r="G249" s="105"/>
      <c r="H249" s="105"/>
      <c r="I249" s="105"/>
      <c r="J249" s="105"/>
      <c r="K249" s="105"/>
      <c r="L249" s="105"/>
      <c r="M249" s="105"/>
      <c r="N249" s="105"/>
      <c r="O249" s="71"/>
      <c r="P249" s="71"/>
    </row>
    <row r="250" spans="1:23" ht="15.75" customHeight="1">
      <c r="A250" s="138"/>
      <c r="B250" s="94"/>
      <c r="C250" s="139"/>
      <c r="D250" s="139"/>
      <c r="E250" s="125"/>
      <c r="F250" s="125"/>
      <c r="G250" s="125"/>
      <c r="H250" s="125"/>
      <c r="I250" s="125"/>
      <c r="J250" s="125"/>
      <c r="K250" s="125"/>
      <c r="L250" s="125"/>
      <c r="M250" s="125"/>
      <c r="N250" s="125"/>
      <c r="O250" s="94"/>
      <c r="P250" s="94"/>
    </row>
    <row r="251" spans="1:23" s="91" customFormat="1" ht="15.75" customHeight="1">
      <c r="A251" s="138"/>
      <c r="B251" s="125"/>
      <c r="C251" s="139"/>
      <c r="D251" s="139"/>
      <c r="E251" s="125"/>
      <c r="F251" s="125"/>
      <c r="G251" s="125"/>
      <c r="H251" s="125"/>
      <c r="I251" s="125"/>
      <c r="J251" s="125"/>
      <c r="K251" s="125"/>
      <c r="L251" s="125"/>
      <c r="M251" s="125"/>
      <c r="N251" s="125"/>
      <c r="O251" s="94"/>
      <c r="P251" s="94"/>
      <c r="V251" s="35"/>
      <c r="W251" s="35"/>
    </row>
    <row r="252" spans="1:23" s="91" customFormat="1" ht="15.75" customHeight="1">
      <c r="A252" s="93" t="s">
        <v>680</v>
      </c>
      <c r="B252" s="146"/>
      <c r="C252" s="126"/>
      <c r="D252" s="126"/>
      <c r="E252" s="126"/>
      <c r="F252" s="126"/>
      <c r="G252" s="126"/>
      <c r="H252" s="126"/>
      <c r="I252" s="126"/>
      <c r="J252" s="126"/>
      <c r="K252" s="126"/>
      <c r="L252" s="126"/>
      <c r="M252" s="126"/>
      <c r="N252" s="126"/>
      <c r="O252" s="127"/>
      <c r="P252" s="127"/>
      <c r="V252" s="35"/>
      <c r="W252" s="35"/>
    </row>
    <row r="253" spans="1:23" s="91" customFormat="1" ht="15.75" customHeight="1">
      <c r="A253" s="128"/>
      <c r="B253" s="96"/>
      <c r="C253" s="454" t="s">
        <v>222</v>
      </c>
      <c r="D253" s="454"/>
      <c r="E253" s="454"/>
      <c r="F253" s="454"/>
      <c r="G253" s="454"/>
      <c r="H253" s="454"/>
      <c r="I253" s="454"/>
      <c r="J253" s="454"/>
      <c r="K253" s="454"/>
      <c r="L253" s="454"/>
      <c r="M253" s="454"/>
      <c r="N253" s="454"/>
      <c r="O253" s="454"/>
      <c r="P253" s="454"/>
      <c r="V253" s="35"/>
      <c r="W253" s="35"/>
    </row>
    <row r="254" spans="1:23" s="91" customFormat="1" ht="15.75" customHeight="1">
      <c r="A254" s="58" t="s">
        <v>359</v>
      </c>
      <c r="B254" s="97" t="s">
        <v>221</v>
      </c>
      <c r="C254" s="97" t="s">
        <v>333</v>
      </c>
      <c r="D254" s="97" t="s">
        <v>360</v>
      </c>
      <c r="E254" s="97" t="s">
        <v>361</v>
      </c>
      <c r="F254" s="97" t="s">
        <v>228</v>
      </c>
      <c r="G254" s="97" t="s">
        <v>362</v>
      </c>
      <c r="H254" s="97" t="s">
        <v>231</v>
      </c>
      <c r="I254" s="97" t="s">
        <v>232</v>
      </c>
      <c r="J254" s="97" t="s">
        <v>363</v>
      </c>
      <c r="K254" s="97" t="s">
        <v>235</v>
      </c>
      <c r="L254" s="97" t="s">
        <v>364</v>
      </c>
      <c r="M254" s="97" t="s">
        <v>365</v>
      </c>
      <c r="N254" s="98" t="s">
        <v>366</v>
      </c>
      <c r="O254" s="63" t="s">
        <v>367</v>
      </c>
      <c r="P254" s="63" t="s">
        <v>368</v>
      </c>
      <c r="V254" s="35"/>
      <c r="W254" s="35"/>
    </row>
    <row r="255" spans="1:23" ht="15.75" customHeight="1">
      <c r="A255" s="129"/>
      <c r="B255" s="101"/>
      <c r="C255" s="101"/>
      <c r="D255" s="101"/>
      <c r="E255" s="102" t="s">
        <v>369</v>
      </c>
      <c r="F255" s="102"/>
      <c r="G255" s="102"/>
      <c r="H255" s="101"/>
      <c r="I255" s="102"/>
      <c r="J255" s="102" t="s">
        <v>370</v>
      </c>
      <c r="K255" s="101"/>
      <c r="L255" s="102" t="s">
        <v>371</v>
      </c>
      <c r="M255" s="102" t="s">
        <v>372</v>
      </c>
      <c r="N255" s="103" t="s">
        <v>373</v>
      </c>
      <c r="O255" s="104" t="s">
        <v>370</v>
      </c>
      <c r="P255" s="105"/>
    </row>
    <row r="256" spans="1:23" ht="15.75" customHeight="1">
      <c r="A256" s="120"/>
      <c r="B256" s="64"/>
      <c r="C256" s="24"/>
      <c r="D256" s="121"/>
      <c r="E256" s="117"/>
      <c r="F256" s="117"/>
      <c r="G256" s="117"/>
      <c r="H256" s="117"/>
      <c r="I256" s="117"/>
      <c r="J256" s="117"/>
      <c r="K256" s="117"/>
      <c r="L256" s="117"/>
      <c r="M256" s="117"/>
      <c r="N256" s="118"/>
      <c r="O256" s="65"/>
      <c r="P256" s="65"/>
    </row>
    <row r="257" spans="1:23" ht="15.75" customHeight="1">
      <c r="A257" s="106" t="s">
        <v>511</v>
      </c>
      <c r="B257" s="62">
        <f>SUM(B259:B265)</f>
        <v>9757</v>
      </c>
      <c r="C257" s="97" t="s">
        <v>374</v>
      </c>
      <c r="D257" s="97" t="s">
        <v>374</v>
      </c>
      <c r="E257" s="97" t="s">
        <v>374</v>
      </c>
      <c r="F257" s="97" t="s">
        <v>374</v>
      </c>
      <c r="G257" s="97" t="s">
        <v>374</v>
      </c>
      <c r="H257" s="62">
        <f>SUM(H259:H265)</f>
        <v>9757</v>
      </c>
      <c r="I257" s="62" t="s">
        <v>374</v>
      </c>
      <c r="J257" s="97" t="s">
        <v>374</v>
      </c>
      <c r="K257" s="97" t="s">
        <v>374</v>
      </c>
      <c r="L257" s="97" t="s">
        <v>374</v>
      </c>
      <c r="M257" s="97" t="s">
        <v>374</v>
      </c>
      <c r="N257" s="98" t="s">
        <v>374</v>
      </c>
      <c r="O257" s="112" t="s">
        <v>374</v>
      </c>
      <c r="P257" s="112" t="s">
        <v>374</v>
      </c>
    </row>
    <row r="258" spans="1:23" ht="15.75" customHeight="1">
      <c r="A258" s="120"/>
      <c r="B258" s="64"/>
      <c r="C258" s="51"/>
      <c r="D258" s="51"/>
      <c r="E258" s="51"/>
      <c r="F258" s="51"/>
      <c r="G258" s="51"/>
      <c r="H258" s="118"/>
      <c r="I258" s="26"/>
      <c r="J258" s="51"/>
      <c r="K258" s="51"/>
      <c r="L258" s="117"/>
      <c r="M258" s="51"/>
      <c r="N258" s="21"/>
      <c r="O258" s="65"/>
      <c r="P258" s="65"/>
    </row>
    <row r="259" spans="1:23" ht="15.75" customHeight="1">
      <c r="A259" s="120" t="s">
        <v>512</v>
      </c>
      <c r="B259" s="26">
        <f t="shared" ref="B259:B265" si="12">SUM(C259:P259)</f>
        <v>4100</v>
      </c>
      <c r="C259" s="117" t="s">
        <v>374</v>
      </c>
      <c r="D259" s="117" t="s">
        <v>374</v>
      </c>
      <c r="E259" s="117" t="s">
        <v>374</v>
      </c>
      <c r="F259" s="117" t="s">
        <v>374</v>
      </c>
      <c r="G259" s="117" t="s">
        <v>374</v>
      </c>
      <c r="H259" s="65">
        <f>'c-17'!F24</f>
        <v>4100</v>
      </c>
      <c r="I259" s="64" t="s">
        <v>374</v>
      </c>
      <c r="J259" s="117" t="s">
        <v>374</v>
      </c>
      <c r="K259" s="117" t="s">
        <v>374</v>
      </c>
      <c r="L259" s="117" t="s">
        <v>374</v>
      </c>
      <c r="M259" s="117" t="s">
        <v>374</v>
      </c>
      <c r="N259" s="118" t="s">
        <v>374</v>
      </c>
      <c r="O259" s="65" t="s">
        <v>374</v>
      </c>
      <c r="P259" s="65" t="s">
        <v>374</v>
      </c>
    </row>
    <row r="260" spans="1:23" ht="15.75" customHeight="1">
      <c r="A260" s="120" t="s">
        <v>513</v>
      </c>
      <c r="B260" s="26">
        <f t="shared" si="12"/>
        <v>1466</v>
      </c>
      <c r="C260" s="117" t="s">
        <v>374</v>
      </c>
      <c r="D260" s="117" t="s">
        <v>374</v>
      </c>
      <c r="E260" s="117" t="s">
        <v>374</v>
      </c>
      <c r="F260" s="117" t="s">
        <v>374</v>
      </c>
      <c r="G260" s="117" t="s">
        <v>374</v>
      </c>
      <c r="H260" s="134">
        <f>'c-17'!F38</f>
        <v>1466</v>
      </c>
      <c r="I260" s="64" t="s">
        <v>374</v>
      </c>
      <c r="J260" s="117" t="s">
        <v>374</v>
      </c>
      <c r="K260" s="117" t="s">
        <v>374</v>
      </c>
      <c r="L260" s="117" t="s">
        <v>374</v>
      </c>
      <c r="M260" s="117" t="s">
        <v>374</v>
      </c>
      <c r="N260" s="118" t="s">
        <v>374</v>
      </c>
      <c r="O260" s="65" t="s">
        <v>374</v>
      </c>
      <c r="P260" s="65" t="s">
        <v>374</v>
      </c>
    </row>
    <row r="261" spans="1:23" ht="15.75" customHeight="1">
      <c r="A261" s="120" t="s">
        <v>514</v>
      </c>
      <c r="B261" s="26">
        <f t="shared" si="12"/>
        <v>936</v>
      </c>
      <c r="C261" s="117" t="s">
        <v>374</v>
      </c>
      <c r="D261" s="117" t="s">
        <v>374</v>
      </c>
      <c r="E261" s="117" t="s">
        <v>374</v>
      </c>
      <c r="F261" s="117" t="s">
        <v>374</v>
      </c>
      <c r="G261" s="117" t="s">
        <v>374</v>
      </c>
      <c r="H261" s="134">
        <f>'c-17'!F66</f>
        <v>936</v>
      </c>
      <c r="I261" s="64" t="s">
        <v>374</v>
      </c>
      <c r="J261" s="117" t="s">
        <v>374</v>
      </c>
      <c r="K261" s="117" t="s">
        <v>374</v>
      </c>
      <c r="L261" s="117" t="s">
        <v>374</v>
      </c>
      <c r="M261" s="117" t="s">
        <v>374</v>
      </c>
      <c r="N261" s="118" t="s">
        <v>374</v>
      </c>
      <c r="O261" s="65" t="s">
        <v>374</v>
      </c>
      <c r="P261" s="65" t="s">
        <v>374</v>
      </c>
    </row>
    <row r="262" spans="1:23" ht="15.75" customHeight="1">
      <c r="A262" s="120" t="s">
        <v>515</v>
      </c>
      <c r="B262" s="26">
        <f t="shared" si="12"/>
        <v>1862</v>
      </c>
      <c r="C262" s="117" t="s">
        <v>374</v>
      </c>
      <c r="D262" s="117" t="s">
        <v>374</v>
      </c>
      <c r="E262" s="117" t="s">
        <v>374</v>
      </c>
      <c r="F262" s="117" t="s">
        <v>374</v>
      </c>
      <c r="G262" s="117" t="s">
        <v>374</v>
      </c>
      <c r="H262" s="65">
        <f>'c-17'!F76</f>
        <v>1862</v>
      </c>
      <c r="I262" s="64" t="s">
        <v>374</v>
      </c>
      <c r="J262" s="117" t="s">
        <v>374</v>
      </c>
      <c r="K262" s="117" t="s">
        <v>374</v>
      </c>
      <c r="L262" s="117" t="s">
        <v>374</v>
      </c>
      <c r="M262" s="117" t="s">
        <v>374</v>
      </c>
      <c r="N262" s="118" t="s">
        <v>374</v>
      </c>
      <c r="O262" s="65" t="s">
        <v>374</v>
      </c>
      <c r="P262" s="65" t="s">
        <v>374</v>
      </c>
      <c r="V262" s="91"/>
      <c r="W262" s="91"/>
    </row>
    <row r="263" spans="1:23" ht="15.75" customHeight="1">
      <c r="A263" s="120" t="s">
        <v>313</v>
      </c>
      <c r="B263" s="26">
        <f t="shared" si="12"/>
        <v>371</v>
      </c>
      <c r="C263" s="117" t="s">
        <v>374</v>
      </c>
      <c r="D263" s="117" t="s">
        <v>374</v>
      </c>
      <c r="E263" s="117" t="s">
        <v>374</v>
      </c>
      <c r="F263" s="117" t="s">
        <v>374</v>
      </c>
      <c r="G263" s="117" t="s">
        <v>374</v>
      </c>
      <c r="H263" s="65">
        <f>'c-17'!F96</f>
        <v>371</v>
      </c>
      <c r="I263" s="64" t="s">
        <v>374</v>
      </c>
      <c r="J263" s="117" t="s">
        <v>374</v>
      </c>
      <c r="K263" s="117" t="s">
        <v>374</v>
      </c>
      <c r="L263" s="117" t="s">
        <v>374</v>
      </c>
      <c r="M263" s="117" t="s">
        <v>374</v>
      </c>
      <c r="N263" s="117" t="s">
        <v>374</v>
      </c>
      <c r="O263" s="118" t="s">
        <v>374</v>
      </c>
      <c r="P263" s="66" t="s">
        <v>374</v>
      </c>
    </row>
    <row r="264" spans="1:23" ht="15.75" customHeight="1">
      <c r="A264" s="120" t="s">
        <v>314</v>
      </c>
      <c r="B264" s="26">
        <f t="shared" si="12"/>
        <v>603</v>
      </c>
      <c r="C264" s="117" t="s">
        <v>374</v>
      </c>
      <c r="D264" s="117" t="s">
        <v>374</v>
      </c>
      <c r="E264" s="117" t="s">
        <v>374</v>
      </c>
      <c r="F264" s="117" t="s">
        <v>374</v>
      </c>
      <c r="G264" s="117" t="s">
        <v>374</v>
      </c>
      <c r="H264" s="65">
        <f>'c-17'!F106</f>
        <v>603</v>
      </c>
      <c r="I264" s="64" t="s">
        <v>374</v>
      </c>
      <c r="J264" s="117" t="s">
        <v>374</v>
      </c>
      <c r="K264" s="117" t="s">
        <v>374</v>
      </c>
      <c r="L264" s="117" t="s">
        <v>374</v>
      </c>
      <c r="M264" s="117" t="s">
        <v>374</v>
      </c>
      <c r="N264" s="118" t="s">
        <v>374</v>
      </c>
      <c r="O264" s="65" t="s">
        <v>374</v>
      </c>
      <c r="P264" s="65" t="s">
        <v>374</v>
      </c>
    </row>
    <row r="265" spans="1:23" ht="15.75" customHeight="1">
      <c r="A265" s="120" t="s">
        <v>315</v>
      </c>
      <c r="B265" s="26">
        <f t="shared" si="12"/>
        <v>419</v>
      </c>
      <c r="C265" s="117" t="s">
        <v>374</v>
      </c>
      <c r="D265" s="117" t="s">
        <v>374</v>
      </c>
      <c r="E265" s="117" t="s">
        <v>374</v>
      </c>
      <c r="F265" s="117" t="s">
        <v>374</v>
      </c>
      <c r="G265" s="117" t="s">
        <v>374</v>
      </c>
      <c r="H265" s="134">
        <f>'c-17'!F133</f>
        <v>419</v>
      </c>
      <c r="I265" s="64" t="s">
        <v>374</v>
      </c>
      <c r="J265" s="117" t="s">
        <v>374</v>
      </c>
      <c r="K265" s="117" t="s">
        <v>374</v>
      </c>
      <c r="L265" s="117" t="s">
        <v>374</v>
      </c>
      <c r="M265" s="117" t="s">
        <v>374</v>
      </c>
      <c r="N265" s="118" t="s">
        <v>374</v>
      </c>
      <c r="O265" s="65" t="s">
        <v>374</v>
      </c>
      <c r="P265" s="65" t="s">
        <v>374</v>
      </c>
    </row>
    <row r="266" spans="1:23" ht="15.75" customHeight="1">
      <c r="A266" s="113"/>
      <c r="B266" s="26"/>
      <c r="C266" s="51"/>
      <c r="D266" s="51"/>
      <c r="E266" s="51"/>
      <c r="F266" s="51"/>
      <c r="G266" s="51"/>
      <c r="H266" s="21"/>
      <c r="I266" s="26"/>
      <c r="J266" s="51"/>
      <c r="K266" s="51"/>
      <c r="L266" s="117"/>
      <c r="M266" s="51"/>
      <c r="N266" s="21"/>
      <c r="O266" s="65"/>
      <c r="P266" s="65"/>
    </row>
    <row r="267" spans="1:23" ht="15.75" customHeight="1">
      <c r="A267" s="106" t="s">
        <v>316</v>
      </c>
      <c r="B267" s="62">
        <f>SUM(B269:B284)</f>
        <v>27345</v>
      </c>
      <c r="C267" s="97" t="s">
        <v>374</v>
      </c>
      <c r="D267" s="97" t="s">
        <v>374</v>
      </c>
      <c r="E267" s="97" t="s">
        <v>374</v>
      </c>
      <c r="F267" s="97" t="s">
        <v>374</v>
      </c>
      <c r="G267" s="97" t="s">
        <v>374</v>
      </c>
      <c r="H267" s="97" t="s">
        <v>374</v>
      </c>
      <c r="I267" s="97" t="s">
        <v>374</v>
      </c>
      <c r="J267" s="62">
        <f>SUM(J269:J284)</f>
        <v>20696</v>
      </c>
      <c r="K267" s="62">
        <f>SUM(K269:K284)</f>
        <v>1821</v>
      </c>
      <c r="L267" s="62">
        <f>SUM(L269:L284)</f>
        <v>4828</v>
      </c>
      <c r="M267" s="97" t="s">
        <v>374</v>
      </c>
      <c r="N267" s="98" t="s">
        <v>374</v>
      </c>
      <c r="O267" s="112" t="s">
        <v>374</v>
      </c>
      <c r="P267" s="112" t="s">
        <v>374</v>
      </c>
    </row>
    <row r="268" spans="1:23" ht="15.75" customHeight="1">
      <c r="A268" s="120"/>
      <c r="B268" s="64"/>
      <c r="C268" s="51"/>
      <c r="D268" s="51"/>
      <c r="E268" s="51"/>
      <c r="F268" s="51"/>
      <c r="G268" s="51"/>
      <c r="H268" s="51"/>
      <c r="I268" s="51"/>
      <c r="J268" s="64"/>
      <c r="K268" s="117"/>
      <c r="L268" s="117"/>
      <c r="M268" s="51"/>
      <c r="N268" s="21"/>
      <c r="O268" s="65"/>
      <c r="P268" s="65"/>
    </row>
    <row r="269" spans="1:23" ht="15.75" customHeight="1">
      <c r="A269" s="120" t="s">
        <v>376</v>
      </c>
      <c r="B269" s="26">
        <f t="shared" ref="B269:B284" si="13">SUM(C269:P269)</f>
        <v>3169</v>
      </c>
      <c r="C269" s="117" t="s">
        <v>374</v>
      </c>
      <c r="D269" s="117" t="s">
        <v>374</v>
      </c>
      <c r="E269" s="117" t="s">
        <v>374</v>
      </c>
      <c r="F269" s="117" t="s">
        <v>374</v>
      </c>
      <c r="G269" s="117" t="s">
        <v>374</v>
      </c>
      <c r="H269" s="117" t="s">
        <v>374</v>
      </c>
      <c r="I269" s="117" t="s">
        <v>374</v>
      </c>
      <c r="J269" s="26">
        <f>'c-23'!F12</f>
        <v>3169</v>
      </c>
      <c r="K269" s="117" t="s">
        <v>374</v>
      </c>
      <c r="L269" s="117" t="s">
        <v>374</v>
      </c>
      <c r="M269" s="117" t="s">
        <v>374</v>
      </c>
      <c r="N269" s="118" t="s">
        <v>374</v>
      </c>
      <c r="O269" s="65" t="s">
        <v>374</v>
      </c>
      <c r="P269" s="65" t="s">
        <v>374</v>
      </c>
    </row>
    <row r="270" spans="1:23" ht="15.75" customHeight="1">
      <c r="A270" s="120" t="s">
        <v>892</v>
      </c>
      <c r="B270" s="26">
        <f t="shared" si="13"/>
        <v>1480</v>
      </c>
      <c r="C270" s="117" t="s">
        <v>374</v>
      </c>
      <c r="D270" s="117" t="s">
        <v>374</v>
      </c>
      <c r="E270" s="117" t="s">
        <v>374</v>
      </c>
      <c r="F270" s="117" t="s">
        <v>374</v>
      </c>
      <c r="G270" s="117" t="s">
        <v>374</v>
      </c>
      <c r="H270" s="117" t="s">
        <v>374</v>
      </c>
      <c r="I270" s="117" t="s">
        <v>374</v>
      </c>
      <c r="J270" s="26">
        <f>'c-23'!F24</f>
        <v>1480</v>
      </c>
      <c r="K270" s="117" t="s">
        <v>374</v>
      </c>
      <c r="L270" s="117" t="s">
        <v>374</v>
      </c>
      <c r="M270" s="117" t="s">
        <v>374</v>
      </c>
      <c r="N270" s="118" t="s">
        <v>374</v>
      </c>
      <c r="O270" s="65" t="s">
        <v>374</v>
      </c>
      <c r="P270" s="65" t="s">
        <v>374</v>
      </c>
    </row>
    <row r="271" spans="1:23" ht="15.75" customHeight="1">
      <c r="A271" s="120" t="s">
        <v>317</v>
      </c>
      <c r="B271" s="26">
        <f t="shared" si="13"/>
        <v>1876</v>
      </c>
      <c r="C271" s="117" t="s">
        <v>374</v>
      </c>
      <c r="D271" s="117" t="s">
        <v>374</v>
      </c>
      <c r="E271" s="117" t="s">
        <v>374</v>
      </c>
      <c r="F271" s="117" t="s">
        <v>374</v>
      </c>
      <c r="G271" s="117" t="s">
        <v>374</v>
      </c>
      <c r="H271" s="117" t="s">
        <v>374</v>
      </c>
      <c r="I271" s="117" t="s">
        <v>374</v>
      </c>
      <c r="J271" s="26">
        <f>'c-23'!F21</f>
        <v>1876</v>
      </c>
      <c r="K271" s="117" t="s">
        <v>374</v>
      </c>
      <c r="L271" s="117" t="s">
        <v>374</v>
      </c>
      <c r="M271" s="117" t="s">
        <v>374</v>
      </c>
      <c r="N271" s="118" t="s">
        <v>374</v>
      </c>
      <c r="O271" s="65" t="s">
        <v>374</v>
      </c>
      <c r="P271" s="65" t="s">
        <v>374</v>
      </c>
    </row>
    <row r="272" spans="1:23" ht="15.75" customHeight="1">
      <c r="A272" s="120" t="s">
        <v>318</v>
      </c>
      <c r="B272" s="26">
        <f t="shared" si="13"/>
        <v>1421</v>
      </c>
      <c r="C272" s="117" t="s">
        <v>374</v>
      </c>
      <c r="D272" s="117" t="s">
        <v>374</v>
      </c>
      <c r="E272" s="117" t="s">
        <v>374</v>
      </c>
      <c r="F272" s="117" t="s">
        <v>374</v>
      </c>
      <c r="G272" s="117" t="s">
        <v>374</v>
      </c>
      <c r="H272" s="117" t="s">
        <v>374</v>
      </c>
      <c r="I272" s="117" t="s">
        <v>374</v>
      </c>
      <c r="J272" s="26">
        <f>'c-23'!F97</f>
        <v>1303</v>
      </c>
      <c r="K272" s="117" t="s">
        <v>374</v>
      </c>
      <c r="L272" s="24">
        <f>'c-15'!F98</f>
        <v>118</v>
      </c>
      <c r="M272" s="117" t="s">
        <v>374</v>
      </c>
      <c r="N272" s="118" t="s">
        <v>374</v>
      </c>
      <c r="O272" s="65" t="s">
        <v>374</v>
      </c>
      <c r="P272" s="65" t="s">
        <v>374</v>
      </c>
    </row>
    <row r="273" spans="1:23" ht="15.75" customHeight="1">
      <c r="A273" s="120" t="s">
        <v>319</v>
      </c>
      <c r="B273" s="26">
        <f t="shared" si="13"/>
        <v>2273</v>
      </c>
      <c r="C273" s="117" t="s">
        <v>374</v>
      </c>
      <c r="D273" s="117" t="s">
        <v>374</v>
      </c>
      <c r="E273" s="117" t="s">
        <v>374</v>
      </c>
      <c r="F273" s="117" t="s">
        <v>374</v>
      </c>
      <c r="G273" s="117" t="s">
        <v>374</v>
      </c>
      <c r="H273" s="117" t="s">
        <v>374</v>
      </c>
      <c r="I273" s="117" t="s">
        <v>374</v>
      </c>
      <c r="J273" s="26">
        <f>'c-23'!F32</f>
        <v>2273</v>
      </c>
      <c r="K273" s="117" t="s">
        <v>374</v>
      </c>
      <c r="L273" s="117" t="s">
        <v>374</v>
      </c>
      <c r="M273" s="117" t="s">
        <v>374</v>
      </c>
      <c r="N273" s="118" t="s">
        <v>374</v>
      </c>
      <c r="O273" s="65" t="s">
        <v>374</v>
      </c>
      <c r="P273" s="65" t="s">
        <v>374</v>
      </c>
    </row>
    <row r="274" spans="1:23" ht="15.75" customHeight="1">
      <c r="A274" s="120" t="s">
        <v>1032</v>
      </c>
      <c r="B274" s="26">
        <f t="shared" si="13"/>
        <v>1005</v>
      </c>
      <c r="C274" s="117" t="s">
        <v>374</v>
      </c>
      <c r="D274" s="117" t="s">
        <v>374</v>
      </c>
      <c r="E274" s="117" t="s">
        <v>374</v>
      </c>
      <c r="F274" s="117" t="s">
        <v>374</v>
      </c>
      <c r="G274" s="117" t="s">
        <v>374</v>
      </c>
      <c r="H274" s="117" t="s">
        <v>374</v>
      </c>
      <c r="I274" s="117" t="s">
        <v>374</v>
      </c>
      <c r="J274" s="26">
        <f>'c-23'!F46</f>
        <v>789</v>
      </c>
      <c r="K274" s="117" t="s">
        <v>374</v>
      </c>
      <c r="L274" s="24">
        <f>'c-15'!F49</f>
        <v>216</v>
      </c>
      <c r="M274" s="117" t="s">
        <v>374</v>
      </c>
      <c r="N274" s="118" t="s">
        <v>374</v>
      </c>
      <c r="O274" s="65" t="s">
        <v>374</v>
      </c>
      <c r="P274" s="65" t="s">
        <v>374</v>
      </c>
    </row>
    <row r="275" spans="1:23" s="91" customFormat="1" ht="15.75" customHeight="1">
      <c r="A275" s="120" t="s">
        <v>1031</v>
      </c>
      <c r="B275" s="26">
        <f t="shared" si="13"/>
        <v>482</v>
      </c>
      <c r="C275" s="117" t="s">
        <v>374</v>
      </c>
      <c r="D275" s="117" t="s">
        <v>374</v>
      </c>
      <c r="E275" s="117" t="s">
        <v>374</v>
      </c>
      <c r="F275" s="117" t="s">
        <v>374</v>
      </c>
      <c r="G275" s="117" t="s">
        <v>374</v>
      </c>
      <c r="H275" s="117" t="s">
        <v>374</v>
      </c>
      <c r="I275" s="117" t="s">
        <v>374</v>
      </c>
      <c r="J275" s="117" t="s">
        <v>374</v>
      </c>
      <c r="K275" s="117" t="s">
        <v>374</v>
      </c>
      <c r="L275" s="24">
        <f>'c-15'!F50</f>
        <v>482</v>
      </c>
      <c r="M275" s="117" t="s">
        <v>374</v>
      </c>
      <c r="N275" s="117" t="s">
        <v>374</v>
      </c>
      <c r="O275" s="117" t="s">
        <v>374</v>
      </c>
      <c r="P275" s="117" t="s">
        <v>374</v>
      </c>
      <c r="V275" s="35"/>
      <c r="W275" s="35"/>
    </row>
    <row r="276" spans="1:23" ht="15.75" customHeight="1">
      <c r="A276" s="120" t="s">
        <v>320</v>
      </c>
      <c r="B276" s="26">
        <f t="shared" si="13"/>
        <v>1966</v>
      </c>
      <c r="C276" s="117" t="s">
        <v>374</v>
      </c>
      <c r="D276" s="117" t="s">
        <v>374</v>
      </c>
      <c r="E276" s="117" t="s">
        <v>374</v>
      </c>
      <c r="F276" s="117" t="s">
        <v>374</v>
      </c>
      <c r="G276" s="117" t="s">
        <v>374</v>
      </c>
      <c r="H276" s="117" t="s">
        <v>374</v>
      </c>
      <c r="I276" s="117" t="s">
        <v>374</v>
      </c>
      <c r="J276" s="26">
        <f>'c-23'!F39</f>
        <v>634</v>
      </c>
      <c r="K276" s="117" t="s">
        <v>374</v>
      </c>
      <c r="L276" s="24">
        <f>'c-15'!F39</f>
        <v>1332</v>
      </c>
      <c r="M276" s="117" t="s">
        <v>374</v>
      </c>
      <c r="N276" s="118" t="s">
        <v>374</v>
      </c>
      <c r="O276" s="65" t="s">
        <v>374</v>
      </c>
      <c r="P276" s="65" t="s">
        <v>374</v>
      </c>
    </row>
    <row r="277" spans="1:23" ht="15.75" customHeight="1">
      <c r="A277" s="120" t="s">
        <v>321</v>
      </c>
      <c r="B277" s="26">
        <f t="shared" si="13"/>
        <v>1901</v>
      </c>
      <c r="C277" s="117" t="s">
        <v>374</v>
      </c>
      <c r="D277" s="117" t="s">
        <v>374</v>
      </c>
      <c r="E277" s="117" t="s">
        <v>374</v>
      </c>
      <c r="F277" s="117" t="s">
        <v>374</v>
      </c>
      <c r="G277" s="117" t="s">
        <v>374</v>
      </c>
      <c r="H277" s="117" t="s">
        <v>374</v>
      </c>
      <c r="I277" s="117" t="s">
        <v>374</v>
      </c>
      <c r="J277" s="26">
        <f>'c-23'!F54</f>
        <v>1901</v>
      </c>
      <c r="K277" s="117" t="s">
        <v>374</v>
      </c>
      <c r="L277" s="64" t="s">
        <v>374</v>
      </c>
      <c r="M277" s="117" t="s">
        <v>374</v>
      </c>
      <c r="N277" s="118" t="s">
        <v>374</v>
      </c>
      <c r="O277" s="65" t="s">
        <v>374</v>
      </c>
      <c r="P277" s="65" t="s">
        <v>374</v>
      </c>
    </row>
    <row r="278" spans="1:23" ht="15.75" customHeight="1">
      <c r="A278" s="120" t="s">
        <v>426</v>
      </c>
      <c r="B278" s="26">
        <f t="shared" si="13"/>
        <v>1285</v>
      </c>
      <c r="C278" s="117" t="s">
        <v>374</v>
      </c>
      <c r="D278" s="117" t="s">
        <v>374</v>
      </c>
      <c r="E278" s="117" t="s">
        <v>374</v>
      </c>
      <c r="F278" s="117" t="s">
        <v>374</v>
      </c>
      <c r="G278" s="117" t="s">
        <v>374</v>
      </c>
      <c r="H278" s="117" t="s">
        <v>374</v>
      </c>
      <c r="I278" s="117" t="s">
        <v>374</v>
      </c>
      <c r="J278" s="26">
        <f>'c-23'!F63</f>
        <v>1285</v>
      </c>
      <c r="K278" s="117" t="s">
        <v>374</v>
      </c>
      <c r="L278" s="64" t="s">
        <v>374</v>
      </c>
      <c r="M278" s="117" t="s">
        <v>374</v>
      </c>
      <c r="N278" s="118" t="s">
        <v>374</v>
      </c>
      <c r="O278" s="65" t="s">
        <v>374</v>
      </c>
      <c r="P278" s="65" t="s">
        <v>374</v>
      </c>
    </row>
    <row r="279" spans="1:23" ht="15.75" customHeight="1">
      <c r="A279" s="120" t="s">
        <v>529</v>
      </c>
      <c r="B279" s="26">
        <f t="shared" si="13"/>
        <v>837</v>
      </c>
      <c r="C279" s="117" t="s">
        <v>374</v>
      </c>
      <c r="D279" s="117" t="s">
        <v>374</v>
      </c>
      <c r="E279" s="117" t="s">
        <v>374</v>
      </c>
      <c r="F279" s="117" t="s">
        <v>374</v>
      </c>
      <c r="G279" s="117" t="s">
        <v>374</v>
      </c>
      <c r="H279" s="117" t="s">
        <v>374</v>
      </c>
      <c r="I279" s="117" t="s">
        <v>374</v>
      </c>
      <c r="J279" s="24">
        <f>'c-23'!F71</f>
        <v>509</v>
      </c>
      <c r="K279" s="117" t="s">
        <v>374</v>
      </c>
      <c r="L279" s="64">
        <f>'c-15'!F72</f>
        <v>328</v>
      </c>
      <c r="M279" s="117" t="s">
        <v>374</v>
      </c>
      <c r="N279" s="118" t="s">
        <v>374</v>
      </c>
      <c r="O279" s="65" t="s">
        <v>374</v>
      </c>
      <c r="P279" s="65" t="s">
        <v>374</v>
      </c>
    </row>
    <row r="280" spans="1:23" ht="15.75" customHeight="1">
      <c r="A280" s="120" t="s">
        <v>530</v>
      </c>
      <c r="B280" s="26">
        <f t="shared" si="13"/>
        <v>3067</v>
      </c>
      <c r="C280" s="117" t="s">
        <v>374</v>
      </c>
      <c r="D280" s="117" t="s">
        <v>374</v>
      </c>
      <c r="E280" s="117" t="s">
        <v>374</v>
      </c>
      <c r="F280" s="117" t="s">
        <v>374</v>
      </c>
      <c r="G280" s="117" t="s">
        <v>374</v>
      </c>
      <c r="H280" s="117" t="s">
        <v>374</v>
      </c>
      <c r="I280" s="117" t="s">
        <v>374</v>
      </c>
      <c r="J280" s="24">
        <f>'c-23'!F79</f>
        <v>1107</v>
      </c>
      <c r="K280" s="117" t="s">
        <v>374</v>
      </c>
      <c r="L280" s="24">
        <f>'c-15'!F80</f>
        <v>1960</v>
      </c>
      <c r="M280" s="117" t="s">
        <v>374</v>
      </c>
      <c r="N280" s="118" t="s">
        <v>374</v>
      </c>
      <c r="O280" s="65" t="s">
        <v>374</v>
      </c>
      <c r="P280" s="65" t="s">
        <v>374</v>
      </c>
    </row>
    <row r="281" spans="1:23" ht="15.75" customHeight="1">
      <c r="A281" s="120" t="s">
        <v>531</v>
      </c>
      <c r="B281" s="26">
        <f t="shared" si="13"/>
        <v>1610</v>
      </c>
      <c r="C281" s="117" t="s">
        <v>374</v>
      </c>
      <c r="D281" s="117" t="s">
        <v>374</v>
      </c>
      <c r="E281" s="117" t="s">
        <v>374</v>
      </c>
      <c r="F281" s="117" t="s">
        <v>374</v>
      </c>
      <c r="G281" s="117" t="s">
        <v>374</v>
      </c>
      <c r="H281" s="117" t="s">
        <v>374</v>
      </c>
      <c r="I281" s="117" t="s">
        <v>374</v>
      </c>
      <c r="J281" s="24">
        <f>'c-23'!F80</f>
        <v>1218</v>
      </c>
      <c r="K281" s="117" t="s">
        <v>374</v>
      </c>
      <c r="L281" s="24">
        <f>'c-15'!F82</f>
        <v>392</v>
      </c>
      <c r="M281" s="117" t="s">
        <v>374</v>
      </c>
      <c r="N281" s="118" t="s">
        <v>374</v>
      </c>
      <c r="O281" s="65" t="s">
        <v>374</v>
      </c>
      <c r="P281" s="65" t="s">
        <v>374</v>
      </c>
    </row>
    <row r="282" spans="1:23" ht="15.75" customHeight="1">
      <c r="A282" s="120" t="s">
        <v>558</v>
      </c>
      <c r="B282" s="26">
        <f t="shared" si="13"/>
        <v>1043</v>
      </c>
      <c r="C282" s="117" t="s">
        <v>374</v>
      </c>
      <c r="D282" s="117" t="s">
        <v>374</v>
      </c>
      <c r="E282" s="117" t="s">
        <v>374</v>
      </c>
      <c r="F282" s="117" t="s">
        <v>374</v>
      </c>
      <c r="G282" s="117" t="s">
        <v>374</v>
      </c>
      <c r="H282" s="117" t="s">
        <v>374</v>
      </c>
      <c r="I282" s="117" t="s">
        <v>374</v>
      </c>
      <c r="J282" s="24">
        <f>'c-23'!F87</f>
        <v>1043</v>
      </c>
      <c r="K282" s="117" t="s">
        <v>374</v>
      </c>
      <c r="L282" s="64" t="s">
        <v>374</v>
      </c>
      <c r="M282" s="117" t="s">
        <v>374</v>
      </c>
      <c r="N282" s="118" t="s">
        <v>374</v>
      </c>
      <c r="O282" s="65" t="s">
        <v>374</v>
      </c>
      <c r="P282" s="65" t="s">
        <v>374</v>
      </c>
      <c r="V282" s="91"/>
      <c r="W282" s="91"/>
    </row>
    <row r="283" spans="1:23" ht="15.75" customHeight="1">
      <c r="A283" s="120" t="s">
        <v>510</v>
      </c>
      <c r="B283" s="26">
        <f t="shared" si="13"/>
        <v>1421</v>
      </c>
      <c r="C283" s="117" t="s">
        <v>374</v>
      </c>
      <c r="D283" s="117" t="s">
        <v>374</v>
      </c>
      <c r="E283" s="117" t="s">
        <v>374</v>
      </c>
      <c r="F283" s="117" t="s">
        <v>374</v>
      </c>
      <c r="G283" s="117" t="s">
        <v>374</v>
      </c>
      <c r="H283" s="117" t="s">
        <v>374</v>
      </c>
      <c r="I283" s="117" t="s">
        <v>374</v>
      </c>
      <c r="J283" s="26">
        <f>'c-23'!F108</f>
        <v>1421</v>
      </c>
      <c r="K283" s="117" t="s">
        <v>374</v>
      </c>
      <c r="L283" s="117" t="s">
        <v>374</v>
      </c>
      <c r="M283" s="117" t="s">
        <v>374</v>
      </c>
      <c r="N283" s="118" t="s">
        <v>374</v>
      </c>
      <c r="O283" s="65" t="s">
        <v>374</v>
      </c>
      <c r="P283" s="65" t="s">
        <v>374</v>
      </c>
    </row>
    <row r="284" spans="1:23" ht="15.75" customHeight="1">
      <c r="A284" s="120" t="s">
        <v>769</v>
      </c>
      <c r="B284" s="26">
        <f t="shared" si="13"/>
        <v>2509</v>
      </c>
      <c r="C284" s="117" t="s">
        <v>374</v>
      </c>
      <c r="D284" s="117" t="s">
        <v>374</v>
      </c>
      <c r="E284" s="117" t="s">
        <v>374</v>
      </c>
      <c r="F284" s="117" t="s">
        <v>374</v>
      </c>
      <c r="G284" s="117" t="s">
        <v>374</v>
      </c>
      <c r="H284" s="117" t="s">
        <v>374</v>
      </c>
      <c r="I284" s="117" t="s">
        <v>374</v>
      </c>
      <c r="J284" s="26">
        <f>'c-23'!F113</f>
        <v>688</v>
      </c>
      <c r="K284" s="117">
        <f>'c-24'!F99</f>
        <v>1821</v>
      </c>
      <c r="L284" s="117" t="s">
        <v>374</v>
      </c>
      <c r="M284" s="117" t="s">
        <v>374</v>
      </c>
      <c r="N284" s="118" t="s">
        <v>374</v>
      </c>
      <c r="O284" s="65" t="s">
        <v>374</v>
      </c>
      <c r="P284" s="65" t="s">
        <v>374</v>
      </c>
    </row>
    <row r="285" spans="1:23" ht="15.75" customHeight="1">
      <c r="A285" s="113"/>
      <c r="B285" s="26"/>
      <c r="C285" s="117"/>
      <c r="D285" s="117"/>
      <c r="E285" s="117"/>
      <c r="F285" s="117"/>
      <c r="G285" s="117"/>
      <c r="H285" s="117"/>
      <c r="I285" s="51"/>
      <c r="J285" s="26"/>
      <c r="K285" s="51"/>
      <c r="L285" s="117"/>
      <c r="M285" s="51"/>
      <c r="N285" s="21"/>
      <c r="O285" s="65"/>
      <c r="P285" s="65"/>
    </row>
    <row r="286" spans="1:23" ht="15.75" customHeight="1">
      <c r="A286" s="106" t="s">
        <v>235</v>
      </c>
      <c r="B286" s="62">
        <f>SUM(B288:B301)</f>
        <v>66737</v>
      </c>
      <c r="C286" s="97" t="s">
        <v>374</v>
      </c>
      <c r="D286" s="97" t="s">
        <v>374</v>
      </c>
      <c r="E286" s="97" t="s">
        <v>374</v>
      </c>
      <c r="F286" s="97" t="s">
        <v>374</v>
      </c>
      <c r="G286" s="97" t="s">
        <v>374</v>
      </c>
      <c r="H286" s="97" t="s">
        <v>374</v>
      </c>
      <c r="I286" s="97" t="s">
        <v>374</v>
      </c>
      <c r="J286" s="62" t="s">
        <v>374</v>
      </c>
      <c r="K286" s="97">
        <f>SUM(K288:K301)</f>
        <v>66737</v>
      </c>
      <c r="L286" s="97" t="s">
        <v>374</v>
      </c>
      <c r="M286" s="97" t="s">
        <v>374</v>
      </c>
      <c r="N286" s="98" t="s">
        <v>374</v>
      </c>
      <c r="O286" s="112" t="s">
        <v>374</v>
      </c>
      <c r="P286" s="112" t="s">
        <v>374</v>
      </c>
    </row>
    <row r="287" spans="1:23" ht="15.75" customHeight="1">
      <c r="A287" s="120"/>
      <c r="B287" s="64"/>
      <c r="C287" s="117"/>
      <c r="D287" s="117"/>
      <c r="E287" s="117"/>
      <c r="F287" s="117"/>
      <c r="G287" s="117"/>
      <c r="H287" s="117"/>
      <c r="I287" s="117"/>
      <c r="J287" s="64"/>
      <c r="K287" s="117"/>
      <c r="L287" s="117"/>
      <c r="M287" s="117"/>
      <c r="N287" s="118"/>
      <c r="O287" s="65"/>
      <c r="P287" s="65"/>
    </row>
    <row r="288" spans="1:23" ht="15.75" customHeight="1">
      <c r="A288" s="120" t="s">
        <v>376</v>
      </c>
      <c r="B288" s="26">
        <f t="shared" ref="B288:B301" si="14">SUM(C288:P288)</f>
        <v>12473</v>
      </c>
      <c r="C288" s="117" t="s">
        <v>374</v>
      </c>
      <c r="D288" s="117" t="s">
        <v>374</v>
      </c>
      <c r="E288" s="117" t="s">
        <v>374</v>
      </c>
      <c r="F288" s="117" t="s">
        <v>374</v>
      </c>
      <c r="G288" s="117" t="s">
        <v>374</v>
      </c>
      <c r="H288" s="117" t="s">
        <v>374</v>
      </c>
      <c r="I288" s="117" t="s">
        <v>374</v>
      </c>
      <c r="J288" s="64" t="s">
        <v>374</v>
      </c>
      <c r="K288" s="51">
        <f>'c-24'!F12</f>
        <v>12473</v>
      </c>
      <c r="L288" s="117" t="s">
        <v>374</v>
      </c>
      <c r="M288" s="117" t="s">
        <v>374</v>
      </c>
      <c r="N288" s="118" t="s">
        <v>374</v>
      </c>
      <c r="O288" s="65" t="s">
        <v>374</v>
      </c>
      <c r="P288" s="65" t="s">
        <v>374</v>
      </c>
    </row>
    <row r="289" spans="1:23" ht="15.75" customHeight="1">
      <c r="A289" s="120" t="s">
        <v>317</v>
      </c>
      <c r="B289" s="26">
        <f t="shared" si="14"/>
        <v>11566</v>
      </c>
      <c r="C289" s="117" t="s">
        <v>374</v>
      </c>
      <c r="D289" s="117" t="s">
        <v>374</v>
      </c>
      <c r="E289" s="117" t="s">
        <v>374</v>
      </c>
      <c r="F289" s="117" t="s">
        <v>374</v>
      </c>
      <c r="G289" s="117" t="s">
        <v>374</v>
      </c>
      <c r="H289" s="117" t="s">
        <v>374</v>
      </c>
      <c r="I289" s="117" t="s">
        <v>374</v>
      </c>
      <c r="J289" s="64" t="s">
        <v>374</v>
      </c>
      <c r="K289" s="51">
        <f>'c-24'!F19</f>
        <v>11566</v>
      </c>
      <c r="L289" s="117" t="s">
        <v>374</v>
      </c>
      <c r="M289" s="117" t="s">
        <v>374</v>
      </c>
      <c r="N289" s="118" t="s">
        <v>374</v>
      </c>
      <c r="O289" s="65" t="s">
        <v>374</v>
      </c>
      <c r="P289" s="65" t="s">
        <v>374</v>
      </c>
    </row>
    <row r="290" spans="1:23" ht="15.75" customHeight="1">
      <c r="A290" s="120" t="s">
        <v>893</v>
      </c>
      <c r="B290" s="26">
        <f t="shared" si="14"/>
        <v>3041</v>
      </c>
      <c r="C290" s="117" t="s">
        <v>374</v>
      </c>
      <c r="D290" s="117" t="s">
        <v>374</v>
      </c>
      <c r="E290" s="117" t="s">
        <v>374</v>
      </c>
      <c r="F290" s="117" t="s">
        <v>374</v>
      </c>
      <c r="G290" s="117" t="s">
        <v>374</v>
      </c>
      <c r="H290" s="117" t="s">
        <v>374</v>
      </c>
      <c r="I290" s="117" t="s">
        <v>374</v>
      </c>
      <c r="J290" s="117" t="s">
        <v>374</v>
      </c>
      <c r="K290" s="26">
        <f>'c-24'!F24</f>
        <v>3041</v>
      </c>
      <c r="L290" s="117" t="s">
        <v>374</v>
      </c>
      <c r="M290" s="117" t="s">
        <v>374</v>
      </c>
      <c r="N290" s="118" t="s">
        <v>374</v>
      </c>
      <c r="O290" s="65" t="s">
        <v>374</v>
      </c>
      <c r="P290" s="65" t="s">
        <v>374</v>
      </c>
    </row>
    <row r="291" spans="1:23" ht="15.75" customHeight="1">
      <c r="A291" s="120" t="s">
        <v>892</v>
      </c>
      <c r="B291" s="26">
        <f t="shared" si="14"/>
        <v>3384</v>
      </c>
      <c r="C291" s="117" t="s">
        <v>374</v>
      </c>
      <c r="D291" s="117" t="s">
        <v>374</v>
      </c>
      <c r="E291" s="117" t="s">
        <v>374</v>
      </c>
      <c r="F291" s="117" t="s">
        <v>374</v>
      </c>
      <c r="G291" s="117" t="s">
        <v>374</v>
      </c>
      <c r="H291" s="117" t="s">
        <v>374</v>
      </c>
      <c r="I291" s="117" t="s">
        <v>374</v>
      </c>
      <c r="J291" s="117" t="s">
        <v>374</v>
      </c>
      <c r="K291" s="26">
        <f>'c-24'!F22</f>
        <v>3384</v>
      </c>
      <c r="L291" s="117" t="s">
        <v>374</v>
      </c>
      <c r="M291" s="117" t="s">
        <v>374</v>
      </c>
      <c r="N291" s="118" t="s">
        <v>374</v>
      </c>
      <c r="O291" s="65" t="s">
        <v>374</v>
      </c>
      <c r="P291" s="65" t="s">
        <v>374</v>
      </c>
    </row>
    <row r="292" spans="1:23" ht="15.75" customHeight="1">
      <c r="A292" s="120" t="s">
        <v>770</v>
      </c>
      <c r="B292" s="26">
        <f t="shared" si="14"/>
        <v>4322</v>
      </c>
      <c r="C292" s="117" t="s">
        <v>374</v>
      </c>
      <c r="D292" s="117" t="s">
        <v>374</v>
      </c>
      <c r="E292" s="117" t="s">
        <v>374</v>
      </c>
      <c r="F292" s="117" t="s">
        <v>374</v>
      </c>
      <c r="G292" s="117" t="s">
        <v>374</v>
      </c>
      <c r="H292" s="117" t="s">
        <v>374</v>
      </c>
      <c r="I292" s="117" t="s">
        <v>374</v>
      </c>
      <c r="J292" s="117" t="s">
        <v>374</v>
      </c>
      <c r="K292" s="26">
        <f>'c-24'!F23</f>
        <v>4322</v>
      </c>
      <c r="L292" s="117" t="s">
        <v>374</v>
      </c>
      <c r="M292" s="117" t="s">
        <v>374</v>
      </c>
      <c r="N292" s="118" t="s">
        <v>374</v>
      </c>
      <c r="O292" s="65" t="s">
        <v>374</v>
      </c>
      <c r="P292" s="65" t="s">
        <v>374</v>
      </c>
    </row>
    <row r="293" spans="1:23" ht="15.75" customHeight="1">
      <c r="A293" s="120" t="s">
        <v>175</v>
      </c>
      <c r="B293" s="26">
        <f t="shared" si="14"/>
        <v>1589</v>
      </c>
      <c r="C293" s="117" t="s">
        <v>374</v>
      </c>
      <c r="D293" s="117" t="s">
        <v>374</v>
      </c>
      <c r="E293" s="117" t="s">
        <v>374</v>
      </c>
      <c r="F293" s="117" t="s">
        <v>374</v>
      </c>
      <c r="G293" s="117" t="s">
        <v>374</v>
      </c>
      <c r="H293" s="117" t="s">
        <v>374</v>
      </c>
      <c r="I293" s="117" t="s">
        <v>374</v>
      </c>
      <c r="J293" s="117" t="s">
        <v>374</v>
      </c>
      <c r="K293" s="26">
        <f>'c-24'!F84</f>
        <v>1589</v>
      </c>
      <c r="L293" s="117" t="s">
        <v>374</v>
      </c>
      <c r="M293" s="117" t="s">
        <v>374</v>
      </c>
      <c r="N293" s="118" t="s">
        <v>374</v>
      </c>
      <c r="O293" s="65" t="s">
        <v>374</v>
      </c>
      <c r="P293" s="65" t="s">
        <v>374</v>
      </c>
    </row>
    <row r="294" spans="1:23" s="91" customFormat="1" ht="15.75" customHeight="1">
      <c r="A294" s="120" t="s">
        <v>319</v>
      </c>
      <c r="B294" s="26">
        <f t="shared" si="14"/>
        <v>6937</v>
      </c>
      <c r="C294" s="117" t="s">
        <v>374</v>
      </c>
      <c r="D294" s="117" t="s">
        <v>374</v>
      </c>
      <c r="E294" s="117" t="s">
        <v>374</v>
      </c>
      <c r="F294" s="117" t="s">
        <v>374</v>
      </c>
      <c r="G294" s="117" t="s">
        <v>374</v>
      </c>
      <c r="H294" s="117" t="s">
        <v>374</v>
      </c>
      <c r="I294" s="117" t="s">
        <v>374</v>
      </c>
      <c r="J294" s="117" t="s">
        <v>374</v>
      </c>
      <c r="K294" s="26">
        <f>'c-24'!F28</f>
        <v>6937</v>
      </c>
      <c r="L294" s="117" t="s">
        <v>374</v>
      </c>
      <c r="M294" s="117" t="s">
        <v>374</v>
      </c>
      <c r="N294" s="118" t="s">
        <v>374</v>
      </c>
      <c r="O294" s="65" t="s">
        <v>374</v>
      </c>
      <c r="P294" s="65" t="s">
        <v>374</v>
      </c>
      <c r="V294" s="35"/>
      <c r="W294" s="35"/>
    </row>
    <row r="295" spans="1:23" ht="15.75" customHeight="1">
      <c r="A295" s="120" t="s">
        <v>771</v>
      </c>
      <c r="B295" s="26">
        <f t="shared" si="14"/>
        <v>1185</v>
      </c>
      <c r="C295" s="117" t="s">
        <v>374</v>
      </c>
      <c r="D295" s="117" t="s">
        <v>374</v>
      </c>
      <c r="E295" s="117" t="s">
        <v>374</v>
      </c>
      <c r="F295" s="117" t="s">
        <v>374</v>
      </c>
      <c r="G295" s="117" t="s">
        <v>374</v>
      </c>
      <c r="H295" s="117" t="s">
        <v>374</v>
      </c>
      <c r="I295" s="117" t="s">
        <v>374</v>
      </c>
      <c r="J295" s="117" t="s">
        <v>374</v>
      </c>
      <c r="K295" s="26">
        <f>'c-24'!F42</f>
        <v>1185</v>
      </c>
      <c r="L295" s="117" t="s">
        <v>374</v>
      </c>
      <c r="M295" s="117" t="s">
        <v>374</v>
      </c>
      <c r="N295" s="118" t="s">
        <v>374</v>
      </c>
      <c r="O295" s="65" t="s">
        <v>374</v>
      </c>
      <c r="P295" s="65" t="s">
        <v>374</v>
      </c>
    </row>
    <row r="296" spans="1:23" ht="15.75" customHeight="1">
      <c r="A296" s="120" t="s">
        <v>772</v>
      </c>
      <c r="B296" s="26">
        <f t="shared" si="14"/>
        <v>2351</v>
      </c>
      <c r="C296" s="117" t="s">
        <v>374</v>
      </c>
      <c r="D296" s="117" t="s">
        <v>374</v>
      </c>
      <c r="E296" s="117" t="s">
        <v>374</v>
      </c>
      <c r="F296" s="117" t="s">
        <v>374</v>
      </c>
      <c r="G296" s="117" t="s">
        <v>374</v>
      </c>
      <c r="H296" s="117" t="s">
        <v>374</v>
      </c>
      <c r="I296" s="117" t="s">
        <v>374</v>
      </c>
      <c r="J296" s="117" t="s">
        <v>374</v>
      </c>
      <c r="K296" s="26">
        <f>'c-24'!F41</f>
        <v>2351</v>
      </c>
      <c r="L296" s="117" t="s">
        <v>374</v>
      </c>
      <c r="M296" s="117" t="s">
        <v>374</v>
      </c>
      <c r="N296" s="118" t="s">
        <v>374</v>
      </c>
      <c r="O296" s="65" t="s">
        <v>374</v>
      </c>
      <c r="P296" s="65" t="s">
        <v>374</v>
      </c>
    </row>
    <row r="297" spans="1:23" ht="15.75" customHeight="1">
      <c r="A297" s="120" t="s">
        <v>773</v>
      </c>
      <c r="B297" s="26">
        <f t="shared" si="14"/>
        <v>1069</v>
      </c>
      <c r="C297" s="117" t="s">
        <v>374</v>
      </c>
      <c r="D297" s="117" t="s">
        <v>374</v>
      </c>
      <c r="E297" s="117" t="s">
        <v>374</v>
      </c>
      <c r="F297" s="117" t="s">
        <v>374</v>
      </c>
      <c r="G297" s="117" t="s">
        <v>374</v>
      </c>
      <c r="H297" s="117" t="s">
        <v>374</v>
      </c>
      <c r="I297" s="117" t="s">
        <v>374</v>
      </c>
      <c r="J297" s="117" t="s">
        <v>374</v>
      </c>
      <c r="K297" s="26">
        <f>'c-24'!F34</f>
        <v>1069</v>
      </c>
      <c r="L297" s="117" t="s">
        <v>374</v>
      </c>
      <c r="M297" s="117" t="s">
        <v>374</v>
      </c>
      <c r="N297" s="118" t="s">
        <v>374</v>
      </c>
      <c r="O297" s="65" t="s">
        <v>374</v>
      </c>
      <c r="P297" s="65" t="s">
        <v>374</v>
      </c>
    </row>
    <row r="298" spans="1:23" ht="15.75" customHeight="1">
      <c r="A298" s="131" t="s">
        <v>774</v>
      </c>
      <c r="B298" s="26">
        <f t="shared" si="14"/>
        <v>6260</v>
      </c>
      <c r="C298" s="117" t="s">
        <v>374</v>
      </c>
      <c r="D298" s="117" t="s">
        <v>374</v>
      </c>
      <c r="E298" s="117" t="s">
        <v>374</v>
      </c>
      <c r="F298" s="117" t="s">
        <v>374</v>
      </c>
      <c r="G298" s="117" t="s">
        <v>374</v>
      </c>
      <c r="H298" s="117" t="s">
        <v>374</v>
      </c>
      <c r="I298" s="117" t="s">
        <v>374</v>
      </c>
      <c r="J298" s="117" t="s">
        <v>374</v>
      </c>
      <c r="K298" s="26">
        <f>'c-24'!F46</f>
        <v>6260</v>
      </c>
      <c r="L298" s="117" t="s">
        <v>374</v>
      </c>
      <c r="M298" s="117" t="s">
        <v>374</v>
      </c>
      <c r="N298" s="118" t="s">
        <v>374</v>
      </c>
      <c r="O298" s="65" t="s">
        <v>374</v>
      </c>
      <c r="P298" s="65" t="s">
        <v>374</v>
      </c>
    </row>
    <row r="299" spans="1:23" ht="15.75" customHeight="1">
      <c r="A299" s="120" t="s">
        <v>775</v>
      </c>
      <c r="B299" s="26">
        <f t="shared" si="14"/>
        <v>8785</v>
      </c>
      <c r="C299" s="117" t="s">
        <v>374</v>
      </c>
      <c r="D299" s="117" t="s">
        <v>374</v>
      </c>
      <c r="E299" s="117" t="s">
        <v>374</v>
      </c>
      <c r="F299" s="117" t="s">
        <v>374</v>
      </c>
      <c r="G299" s="117" t="s">
        <v>374</v>
      </c>
      <c r="H299" s="117" t="s">
        <v>374</v>
      </c>
      <c r="I299" s="117" t="s">
        <v>374</v>
      </c>
      <c r="J299" s="117" t="s">
        <v>374</v>
      </c>
      <c r="K299" s="26">
        <f>'c-24'!F53</f>
        <v>8785</v>
      </c>
      <c r="L299" s="117" t="s">
        <v>374</v>
      </c>
      <c r="M299" s="117" t="s">
        <v>374</v>
      </c>
      <c r="N299" s="118" t="s">
        <v>374</v>
      </c>
      <c r="O299" s="65" t="s">
        <v>374</v>
      </c>
      <c r="P299" s="65" t="s">
        <v>374</v>
      </c>
    </row>
    <row r="300" spans="1:23" ht="15.75" customHeight="1">
      <c r="A300" s="120" t="s">
        <v>776</v>
      </c>
      <c r="B300" s="26">
        <f t="shared" si="14"/>
        <v>2283</v>
      </c>
      <c r="C300" s="117" t="s">
        <v>374</v>
      </c>
      <c r="D300" s="117" t="s">
        <v>374</v>
      </c>
      <c r="E300" s="117" t="s">
        <v>374</v>
      </c>
      <c r="F300" s="117" t="s">
        <v>374</v>
      </c>
      <c r="G300" s="117" t="s">
        <v>374</v>
      </c>
      <c r="H300" s="117" t="s">
        <v>374</v>
      </c>
      <c r="I300" s="117" t="s">
        <v>374</v>
      </c>
      <c r="J300" s="117" t="s">
        <v>374</v>
      </c>
      <c r="K300" s="26">
        <f>'c-24'!F76</f>
        <v>2283</v>
      </c>
      <c r="L300" s="117" t="s">
        <v>374</v>
      </c>
      <c r="M300" s="117" t="s">
        <v>374</v>
      </c>
      <c r="N300" s="118" t="s">
        <v>374</v>
      </c>
      <c r="O300" s="65" t="s">
        <v>374</v>
      </c>
      <c r="P300" s="65" t="s">
        <v>374</v>
      </c>
    </row>
    <row r="301" spans="1:23" ht="15.75" customHeight="1">
      <c r="A301" s="120" t="s">
        <v>510</v>
      </c>
      <c r="B301" s="26">
        <f t="shared" si="14"/>
        <v>1492</v>
      </c>
      <c r="C301" s="117" t="s">
        <v>374</v>
      </c>
      <c r="D301" s="117" t="s">
        <v>374</v>
      </c>
      <c r="E301" s="117" t="s">
        <v>374</v>
      </c>
      <c r="F301" s="117" t="s">
        <v>374</v>
      </c>
      <c r="G301" s="117" t="s">
        <v>374</v>
      </c>
      <c r="H301" s="117" t="s">
        <v>374</v>
      </c>
      <c r="I301" s="117" t="s">
        <v>374</v>
      </c>
      <c r="J301" s="117" t="s">
        <v>374</v>
      </c>
      <c r="K301" s="26">
        <f>'c-24'!F95</f>
        <v>1492</v>
      </c>
      <c r="L301" s="117" t="s">
        <v>374</v>
      </c>
      <c r="M301" s="117" t="s">
        <v>374</v>
      </c>
      <c r="N301" s="118" t="s">
        <v>374</v>
      </c>
      <c r="O301" s="65" t="s">
        <v>374</v>
      </c>
      <c r="P301" s="65" t="s">
        <v>374</v>
      </c>
    </row>
    <row r="302" spans="1:23" ht="15.75" customHeight="1">
      <c r="A302" s="113"/>
      <c r="B302" s="26"/>
      <c r="C302" s="51"/>
      <c r="D302" s="51"/>
      <c r="E302" s="51"/>
      <c r="F302" s="51"/>
      <c r="G302" s="51"/>
      <c r="H302" s="51"/>
      <c r="I302" s="51"/>
      <c r="J302" s="51"/>
      <c r="K302" s="26"/>
      <c r="L302" s="117"/>
      <c r="M302" s="51"/>
      <c r="N302" s="21"/>
      <c r="O302" s="65"/>
      <c r="P302" s="65"/>
    </row>
    <row r="303" spans="1:23" ht="15.75" customHeight="1">
      <c r="A303" s="106" t="s">
        <v>229</v>
      </c>
      <c r="B303" s="62">
        <f>SUM(B305:B312)</f>
        <v>9060</v>
      </c>
      <c r="C303" s="97" t="s">
        <v>374</v>
      </c>
      <c r="D303" s="97" t="s">
        <v>374</v>
      </c>
      <c r="E303" s="97" t="s">
        <v>374</v>
      </c>
      <c r="F303" s="97" t="s">
        <v>374</v>
      </c>
      <c r="G303" s="97" t="s">
        <v>374</v>
      </c>
      <c r="H303" s="97" t="s">
        <v>374</v>
      </c>
      <c r="I303" s="97" t="s">
        <v>374</v>
      </c>
      <c r="J303" s="97" t="s">
        <v>374</v>
      </c>
      <c r="K303" s="97" t="s">
        <v>374</v>
      </c>
      <c r="L303" s="62">
        <f>SUM(L305:L313)</f>
        <v>10223</v>
      </c>
      <c r="M303" s="97" t="s">
        <v>374</v>
      </c>
      <c r="N303" s="98" t="s">
        <v>374</v>
      </c>
      <c r="O303" s="112" t="s">
        <v>374</v>
      </c>
      <c r="P303" s="112" t="s">
        <v>374</v>
      </c>
    </row>
    <row r="304" spans="1:23" ht="15.75" customHeight="1">
      <c r="A304" s="120"/>
      <c r="B304" s="64"/>
      <c r="C304" s="51"/>
      <c r="D304" s="51"/>
      <c r="E304" s="51"/>
      <c r="F304" s="51"/>
      <c r="G304" s="51"/>
      <c r="H304" s="51"/>
      <c r="I304" s="51"/>
      <c r="J304" s="51"/>
      <c r="K304" s="51"/>
      <c r="L304" s="64"/>
      <c r="M304" s="117"/>
      <c r="N304" s="118"/>
      <c r="O304" s="65"/>
      <c r="P304" s="65"/>
    </row>
    <row r="305" spans="1:23" ht="15.75" customHeight="1">
      <c r="A305" s="120" t="s">
        <v>777</v>
      </c>
      <c r="B305" s="26">
        <f t="shared" ref="B305:B313" si="15">SUM(C305:P305)</f>
        <v>939</v>
      </c>
      <c r="C305" s="117" t="s">
        <v>374</v>
      </c>
      <c r="D305" s="117" t="s">
        <v>374</v>
      </c>
      <c r="E305" s="117" t="s">
        <v>374</v>
      </c>
      <c r="F305" s="117" t="s">
        <v>374</v>
      </c>
      <c r="G305" s="117" t="s">
        <v>374</v>
      </c>
      <c r="H305" s="117" t="s">
        <v>374</v>
      </c>
      <c r="I305" s="117" t="s">
        <v>374</v>
      </c>
      <c r="J305" s="117" t="s">
        <v>374</v>
      </c>
      <c r="K305" s="117" t="s">
        <v>374</v>
      </c>
      <c r="L305" s="26">
        <f>'c-15'!F12</f>
        <v>939</v>
      </c>
      <c r="M305" s="117" t="s">
        <v>374</v>
      </c>
      <c r="N305" s="118" t="s">
        <v>374</v>
      </c>
      <c r="O305" s="65" t="s">
        <v>374</v>
      </c>
      <c r="P305" s="65" t="s">
        <v>374</v>
      </c>
    </row>
    <row r="306" spans="1:23" ht="15.75" customHeight="1">
      <c r="A306" s="120" t="s">
        <v>448</v>
      </c>
      <c r="B306" s="26">
        <f t="shared" si="15"/>
        <v>1858</v>
      </c>
      <c r="C306" s="117" t="s">
        <v>374</v>
      </c>
      <c r="D306" s="117" t="s">
        <v>374</v>
      </c>
      <c r="E306" s="117" t="s">
        <v>374</v>
      </c>
      <c r="F306" s="117" t="s">
        <v>374</v>
      </c>
      <c r="G306" s="117" t="s">
        <v>374</v>
      </c>
      <c r="H306" s="117" t="s">
        <v>374</v>
      </c>
      <c r="I306" s="117" t="s">
        <v>374</v>
      </c>
      <c r="J306" s="117" t="s">
        <v>374</v>
      </c>
      <c r="K306" s="117" t="s">
        <v>374</v>
      </c>
      <c r="L306" s="26">
        <f>'c-15'!F20</f>
        <v>1858</v>
      </c>
      <c r="M306" s="117" t="s">
        <v>374</v>
      </c>
      <c r="N306" s="118" t="s">
        <v>374</v>
      </c>
      <c r="O306" s="65" t="s">
        <v>374</v>
      </c>
      <c r="P306" s="65" t="s">
        <v>374</v>
      </c>
    </row>
    <row r="307" spans="1:23" ht="15.75" customHeight="1">
      <c r="A307" s="113" t="s">
        <v>778</v>
      </c>
      <c r="B307" s="26">
        <f t="shared" si="15"/>
        <v>1301</v>
      </c>
      <c r="C307" s="117" t="s">
        <v>374</v>
      </c>
      <c r="D307" s="117" t="s">
        <v>374</v>
      </c>
      <c r="E307" s="117" t="s">
        <v>374</v>
      </c>
      <c r="F307" s="117" t="s">
        <v>374</v>
      </c>
      <c r="G307" s="117" t="s">
        <v>374</v>
      </c>
      <c r="H307" s="117" t="s">
        <v>374</v>
      </c>
      <c r="I307" s="117" t="s">
        <v>374</v>
      </c>
      <c r="J307" s="117" t="s">
        <v>374</v>
      </c>
      <c r="K307" s="117" t="s">
        <v>374</v>
      </c>
      <c r="L307" s="26">
        <f>'c-15'!F27</f>
        <v>1301</v>
      </c>
      <c r="M307" s="117" t="s">
        <v>374</v>
      </c>
      <c r="N307" s="118" t="s">
        <v>374</v>
      </c>
      <c r="O307" s="65" t="s">
        <v>374</v>
      </c>
      <c r="P307" s="65" t="s">
        <v>374</v>
      </c>
    </row>
    <row r="308" spans="1:23" ht="15.75" customHeight="1">
      <c r="A308" s="113" t="s">
        <v>779</v>
      </c>
      <c r="B308" s="26">
        <f t="shared" si="15"/>
        <v>771</v>
      </c>
      <c r="C308" s="117" t="s">
        <v>374</v>
      </c>
      <c r="D308" s="117" t="s">
        <v>374</v>
      </c>
      <c r="E308" s="117" t="s">
        <v>374</v>
      </c>
      <c r="F308" s="117" t="s">
        <v>374</v>
      </c>
      <c r="G308" s="117" t="s">
        <v>374</v>
      </c>
      <c r="H308" s="117" t="s">
        <v>374</v>
      </c>
      <c r="I308" s="117" t="s">
        <v>374</v>
      </c>
      <c r="J308" s="117" t="s">
        <v>374</v>
      </c>
      <c r="K308" s="117" t="s">
        <v>374</v>
      </c>
      <c r="L308" s="26">
        <f>'c-15'!F32</f>
        <v>771</v>
      </c>
      <c r="M308" s="117" t="s">
        <v>374</v>
      </c>
      <c r="N308" s="118" t="s">
        <v>374</v>
      </c>
      <c r="O308" s="65" t="s">
        <v>374</v>
      </c>
      <c r="P308" s="65" t="s">
        <v>374</v>
      </c>
    </row>
    <row r="309" spans="1:23" ht="15.75" customHeight="1">
      <c r="A309" s="113" t="s">
        <v>780</v>
      </c>
      <c r="B309" s="26">
        <f t="shared" si="15"/>
        <v>1320</v>
      </c>
      <c r="C309" s="117" t="s">
        <v>374</v>
      </c>
      <c r="D309" s="117" t="s">
        <v>374</v>
      </c>
      <c r="E309" s="117" t="s">
        <v>374</v>
      </c>
      <c r="F309" s="117" t="s">
        <v>374</v>
      </c>
      <c r="G309" s="117" t="s">
        <v>374</v>
      </c>
      <c r="H309" s="117" t="s">
        <v>374</v>
      </c>
      <c r="I309" s="117" t="s">
        <v>374</v>
      </c>
      <c r="J309" s="117" t="s">
        <v>374</v>
      </c>
      <c r="K309" s="117" t="s">
        <v>374</v>
      </c>
      <c r="L309" s="26">
        <f>'c-15'!F55</f>
        <v>1320</v>
      </c>
      <c r="M309" s="117" t="s">
        <v>374</v>
      </c>
      <c r="N309" s="118" t="s">
        <v>374</v>
      </c>
      <c r="O309" s="65" t="s">
        <v>374</v>
      </c>
      <c r="P309" s="65" t="s">
        <v>374</v>
      </c>
    </row>
    <row r="310" spans="1:23" ht="15.75" customHeight="1">
      <c r="A310" s="113" t="s">
        <v>781</v>
      </c>
      <c r="B310" s="26">
        <f t="shared" si="15"/>
        <v>1106</v>
      </c>
      <c r="C310" s="117" t="s">
        <v>374</v>
      </c>
      <c r="D310" s="117" t="s">
        <v>374</v>
      </c>
      <c r="E310" s="117" t="s">
        <v>374</v>
      </c>
      <c r="F310" s="117" t="s">
        <v>374</v>
      </c>
      <c r="G310" s="117" t="s">
        <v>374</v>
      </c>
      <c r="H310" s="117" t="s">
        <v>374</v>
      </c>
      <c r="I310" s="117" t="s">
        <v>374</v>
      </c>
      <c r="J310" s="117" t="s">
        <v>374</v>
      </c>
      <c r="K310" s="117" t="s">
        <v>374</v>
      </c>
      <c r="L310" s="26">
        <f>'c-15'!F64</f>
        <v>1106</v>
      </c>
      <c r="M310" s="117" t="s">
        <v>374</v>
      </c>
      <c r="N310" s="118" t="s">
        <v>374</v>
      </c>
      <c r="O310" s="65" t="s">
        <v>374</v>
      </c>
      <c r="P310" s="65" t="s">
        <v>374</v>
      </c>
    </row>
    <row r="311" spans="1:23" ht="15.75" customHeight="1">
      <c r="A311" s="120" t="s">
        <v>558</v>
      </c>
      <c r="B311" s="26">
        <f t="shared" si="15"/>
        <v>1031</v>
      </c>
      <c r="C311" s="117" t="s">
        <v>374</v>
      </c>
      <c r="D311" s="117" t="s">
        <v>374</v>
      </c>
      <c r="E311" s="117" t="s">
        <v>374</v>
      </c>
      <c r="F311" s="117" t="s">
        <v>374</v>
      </c>
      <c r="G311" s="117" t="s">
        <v>374</v>
      </c>
      <c r="H311" s="117" t="s">
        <v>374</v>
      </c>
      <c r="I311" s="117" t="s">
        <v>374</v>
      </c>
      <c r="J311" s="117" t="s">
        <v>374</v>
      </c>
      <c r="K311" s="64" t="s">
        <v>374</v>
      </c>
      <c r="L311" s="24">
        <f>'c-15'!F88</f>
        <v>1031</v>
      </c>
      <c r="M311" s="117" t="s">
        <v>374</v>
      </c>
      <c r="N311" s="118" t="s">
        <v>374</v>
      </c>
      <c r="O311" s="65" t="s">
        <v>374</v>
      </c>
      <c r="P311" s="65" t="s">
        <v>374</v>
      </c>
    </row>
    <row r="312" spans="1:23" ht="15.75" customHeight="1">
      <c r="A312" s="113" t="s">
        <v>782</v>
      </c>
      <c r="B312" s="26">
        <f t="shared" si="15"/>
        <v>734</v>
      </c>
      <c r="C312" s="117" t="s">
        <v>374</v>
      </c>
      <c r="D312" s="117" t="s">
        <v>374</v>
      </c>
      <c r="E312" s="117" t="s">
        <v>374</v>
      </c>
      <c r="F312" s="117" t="s">
        <v>374</v>
      </c>
      <c r="G312" s="117" t="s">
        <v>374</v>
      </c>
      <c r="H312" s="117" t="s">
        <v>374</v>
      </c>
      <c r="I312" s="117" t="s">
        <v>374</v>
      </c>
      <c r="J312" s="117" t="s">
        <v>374</v>
      </c>
      <c r="K312" s="117" t="s">
        <v>374</v>
      </c>
      <c r="L312" s="26">
        <f>'c-15'!F109</f>
        <v>734</v>
      </c>
      <c r="M312" s="117" t="s">
        <v>374</v>
      </c>
      <c r="N312" s="118" t="s">
        <v>374</v>
      </c>
      <c r="O312" s="65" t="s">
        <v>374</v>
      </c>
      <c r="P312" s="65" t="s">
        <v>374</v>
      </c>
    </row>
    <row r="313" spans="1:23" s="91" customFormat="1" ht="15.75" customHeight="1">
      <c r="A313" s="113" t="s">
        <v>1033</v>
      </c>
      <c r="B313" s="26">
        <f t="shared" si="15"/>
        <v>1163</v>
      </c>
      <c r="C313" s="117" t="s">
        <v>374</v>
      </c>
      <c r="D313" s="117" t="s">
        <v>374</v>
      </c>
      <c r="E313" s="117" t="s">
        <v>374</v>
      </c>
      <c r="F313" s="117" t="s">
        <v>374</v>
      </c>
      <c r="G313" s="117" t="s">
        <v>374</v>
      </c>
      <c r="H313" s="117" t="s">
        <v>374</v>
      </c>
      <c r="I313" s="117" t="s">
        <v>374</v>
      </c>
      <c r="J313" s="117" t="s">
        <v>374</v>
      </c>
      <c r="K313" s="117" t="s">
        <v>374</v>
      </c>
      <c r="L313" s="26">
        <f>'c-15'!F114</f>
        <v>1163</v>
      </c>
      <c r="M313" s="117" t="s">
        <v>374</v>
      </c>
      <c r="N313" s="118" t="s">
        <v>374</v>
      </c>
      <c r="O313" s="416" t="s">
        <v>374</v>
      </c>
      <c r="P313" s="65" t="s">
        <v>374</v>
      </c>
      <c r="V313" s="35"/>
      <c r="W313" s="35"/>
    </row>
    <row r="314" spans="1:23" ht="15.75" customHeight="1">
      <c r="A314" s="113"/>
      <c r="B314" s="64"/>
      <c r="C314" s="117"/>
      <c r="D314" s="117"/>
      <c r="E314" s="117"/>
      <c r="F314" s="117"/>
      <c r="G314" s="117"/>
      <c r="H314" s="117"/>
      <c r="I314" s="117"/>
      <c r="J314" s="117"/>
      <c r="K314" s="117"/>
      <c r="L314" s="64"/>
      <c r="M314" s="117"/>
      <c r="N314" s="118"/>
      <c r="O314" s="65"/>
      <c r="P314" s="65"/>
    </row>
    <row r="315" spans="1:23" ht="15.75" customHeight="1">
      <c r="A315" s="106" t="s">
        <v>783</v>
      </c>
      <c r="B315" s="62">
        <f>SUM(B317:B322)</f>
        <v>8159</v>
      </c>
      <c r="C315" s="97" t="s">
        <v>374</v>
      </c>
      <c r="D315" s="97" t="s">
        <v>374</v>
      </c>
      <c r="E315" s="97" t="s">
        <v>374</v>
      </c>
      <c r="F315" s="97" t="s">
        <v>374</v>
      </c>
      <c r="G315" s="97" t="s">
        <v>374</v>
      </c>
      <c r="H315" s="97" t="s">
        <v>374</v>
      </c>
      <c r="I315" s="97" t="s">
        <v>374</v>
      </c>
      <c r="J315" s="97" t="s">
        <v>374</v>
      </c>
      <c r="K315" s="97" t="s">
        <v>374</v>
      </c>
      <c r="L315" s="62">
        <f>SUM(L317:L322)</f>
        <v>3170</v>
      </c>
      <c r="M315" s="97" t="s">
        <v>374</v>
      </c>
      <c r="N315" s="98">
        <f>SUM(N317:N322)</f>
        <v>4989</v>
      </c>
      <c r="O315" s="112" t="s">
        <v>374</v>
      </c>
      <c r="P315" s="112" t="s">
        <v>374</v>
      </c>
    </row>
    <row r="316" spans="1:23" ht="15.75" customHeight="1">
      <c r="A316" s="120"/>
      <c r="B316" s="64"/>
      <c r="C316" s="117"/>
      <c r="D316" s="117"/>
      <c r="E316" s="117"/>
      <c r="F316" s="117"/>
      <c r="G316" s="117"/>
      <c r="H316" s="117"/>
      <c r="I316" s="117"/>
      <c r="J316" s="117"/>
      <c r="K316" s="117"/>
      <c r="L316" s="64"/>
      <c r="M316" s="117"/>
      <c r="N316" s="118"/>
      <c r="O316" s="65"/>
      <c r="P316" s="65"/>
    </row>
    <row r="317" spans="1:23" ht="15.75" customHeight="1">
      <c r="A317" s="120" t="s">
        <v>784</v>
      </c>
      <c r="B317" s="26">
        <f t="shared" ref="B317:B322" si="16">SUM(C317:P317)</f>
        <v>1696</v>
      </c>
      <c r="C317" s="117" t="s">
        <v>374</v>
      </c>
      <c r="D317" s="117" t="s">
        <v>374</v>
      </c>
      <c r="E317" s="117" t="s">
        <v>374</v>
      </c>
      <c r="F317" s="117" t="s">
        <v>374</v>
      </c>
      <c r="G317" s="117" t="s">
        <v>374</v>
      </c>
      <c r="H317" s="117" t="s">
        <v>374</v>
      </c>
      <c r="I317" s="117" t="s">
        <v>374</v>
      </c>
      <c r="J317" s="117" t="s">
        <v>374</v>
      </c>
      <c r="K317" s="117" t="s">
        <v>374</v>
      </c>
      <c r="L317" s="24">
        <f>'c-15'!F23</f>
        <v>610</v>
      </c>
      <c r="M317" s="117" t="s">
        <v>374</v>
      </c>
      <c r="N317" s="24">
        <f>'c-16'!F24</f>
        <v>1086</v>
      </c>
      <c r="O317" s="117" t="s">
        <v>374</v>
      </c>
      <c r="P317" s="118" t="s">
        <v>374</v>
      </c>
    </row>
    <row r="318" spans="1:23" ht="15.75" customHeight="1">
      <c r="A318" s="120" t="s">
        <v>785</v>
      </c>
      <c r="B318" s="26">
        <f t="shared" si="16"/>
        <v>833</v>
      </c>
      <c r="C318" s="117" t="s">
        <v>374</v>
      </c>
      <c r="D318" s="117" t="s">
        <v>374</v>
      </c>
      <c r="E318" s="117" t="s">
        <v>374</v>
      </c>
      <c r="F318" s="117" t="s">
        <v>374</v>
      </c>
      <c r="G318" s="117" t="s">
        <v>374</v>
      </c>
      <c r="H318" s="117" t="s">
        <v>374</v>
      </c>
      <c r="I318" s="117" t="s">
        <v>374</v>
      </c>
      <c r="J318" s="117" t="s">
        <v>374</v>
      </c>
      <c r="K318" s="117" t="s">
        <v>374</v>
      </c>
      <c r="L318" s="24">
        <f>'c-15'!F13</f>
        <v>401</v>
      </c>
      <c r="M318" s="117" t="s">
        <v>374</v>
      </c>
      <c r="N318" s="24">
        <f>'c-16'!F14</f>
        <v>432</v>
      </c>
      <c r="O318" s="65" t="s">
        <v>374</v>
      </c>
      <c r="P318" s="65" t="s">
        <v>374</v>
      </c>
    </row>
    <row r="319" spans="1:23" ht="15.75" customHeight="1">
      <c r="A319" s="120" t="s">
        <v>786</v>
      </c>
      <c r="B319" s="26">
        <f t="shared" si="16"/>
        <v>1606</v>
      </c>
      <c r="C319" s="117" t="s">
        <v>374</v>
      </c>
      <c r="D319" s="117" t="s">
        <v>374</v>
      </c>
      <c r="E319" s="117" t="s">
        <v>374</v>
      </c>
      <c r="F319" s="117" t="s">
        <v>374</v>
      </c>
      <c r="G319" s="117" t="s">
        <v>374</v>
      </c>
      <c r="H319" s="117" t="s">
        <v>374</v>
      </c>
      <c r="I319" s="117" t="s">
        <v>374</v>
      </c>
      <c r="J319" s="117" t="s">
        <v>374</v>
      </c>
      <c r="K319" s="117" t="s">
        <v>374</v>
      </c>
      <c r="L319" s="24">
        <f>'c-15'!F56</f>
        <v>437</v>
      </c>
      <c r="M319" s="117" t="s">
        <v>374</v>
      </c>
      <c r="N319" s="24">
        <f>'c-16'!F55</f>
        <v>1169</v>
      </c>
      <c r="O319" s="65" t="s">
        <v>374</v>
      </c>
      <c r="P319" s="65" t="s">
        <v>374</v>
      </c>
    </row>
    <row r="320" spans="1:23" ht="15.75" customHeight="1">
      <c r="A320" s="120" t="s">
        <v>516</v>
      </c>
      <c r="B320" s="26">
        <f t="shared" si="16"/>
        <v>1301</v>
      </c>
      <c r="C320" s="117" t="s">
        <v>374</v>
      </c>
      <c r="D320" s="117" t="s">
        <v>374</v>
      </c>
      <c r="E320" s="117" t="s">
        <v>374</v>
      </c>
      <c r="F320" s="117" t="s">
        <v>374</v>
      </c>
      <c r="G320" s="117" t="s">
        <v>374</v>
      </c>
      <c r="H320" s="117" t="s">
        <v>374</v>
      </c>
      <c r="I320" s="117" t="s">
        <v>374</v>
      </c>
      <c r="J320" s="117" t="s">
        <v>374</v>
      </c>
      <c r="K320" s="117" t="s">
        <v>374</v>
      </c>
      <c r="L320" s="24">
        <f>'c-15'!F67</f>
        <v>430</v>
      </c>
      <c r="M320" s="117" t="s">
        <v>374</v>
      </c>
      <c r="N320" s="24">
        <f>'c-16'!F63</f>
        <v>871</v>
      </c>
      <c r="O320" s="65" t="s">
        <v>374</v>
      </c>
      <c r="P320" s="65" t="s">
        <v>374</v>
      </c>
    </row>
    <row r="321" spans="1:23" ht="15.75" customHeight="1">
      <c r="A321" s="120" t="s">
        <v>517</v>
      </c>
      <c r="B321" s="26">
        <f t="shared" si="16"/>
        <v>1217</v>
      </c>
      <c r="C321" s="117" t="s">
        <v>374</v>
      </c>
      <c r="D321" s="117" t="s">
        <v>374</v>
      </c>
      <c r="E321" s="117" t="s">
        <v>374</v>
      </c>
      <c r="F321" s="117" t="s">
        <v>374</v>
      </c>
      <c r="G321" s="117" t="s">
        <v>374</v>
      </c>
      <c r="H321" s="117" t="s">
        <v>374</v>
      </c>
      <c r="I321" s="117" t="s">
        <v>374</v>
      </c>
      <c r="J321" s="117" t="s">
        <v>374</v>
      </c>
      <c r="K321" s="117" t="s">
        <v>374</v>
      </c>
      <c r="L321" s="24">
        <f>'c-15'!F68</f>
        <v>298</v>
      </c>
      <c r="M321" s="117" t="s">
        <v>374</v>
      </c>
      <c r="N321" s="24">
        <f>'c-16'!F67</f>
        <v>919</v>
      </c>
      <c r="O321" s="65" t="s">
        <v>374</v>
      </c>
      <c r="P321" s="65" t="s">
        <v>374</v>
      </c>
    </row>
    <row r="322" spans="1:23" ht="15.75" customHeight="1">
      <c r="A322" s="120" t="s">
        <v>518</v>
      </c>
      <c r="B322" s="26">
        <f t="shared" si="16"/>
        <v>1506</v>
      </c>
      <c r="C322" s="117" t="s">
        <v>374</v>
      </c>
      <c r="D322" s="117" t="s">
        <v>374</v>
      </c>
      <c r="E322" s="117" t="s">
        <v>374</v>
      </c>
      <c r="F322" s="117" t="s">
        <v>374</v>
      </c>
      <c r="G322" s="117" t="s">
        <v>374</v>
      </c>
      <c r="H322" s="117" t="s">
        <v>374</v>
      </c>
      <c r="I322" s="117" t="s">
        <v>374</v>
      </c>
      <c r="J322" s="117" t="s">
        <v>374</v>
      </c>
      <c r="K322" s="117" t="s">
        <v>374</v>
      </c>
      <c r="L322" s="24">
        <f>'c-15'!F116</f>
        <v>994</v>
      </c>
      <c r="M322" s="117" t="s">
        <v>374</v>
      </c>
      <c r="N322" s="24">
        <f>'c-16'!F113</f>
        <v>512</v>
      </c>
      <c r="O322" s="65" t="s">
        <v>374</v>
      </c>
      <c r="P322" s="65" t="s">
        <v>374</v>
      </c>
    </row>
    <row r="323" spans="1:23" ht="15.75" customHeight="1">
      <c r="A323" s="113"/>
      <c r="B323" s="64"/>
      <c r="C323" s="117"/>
      <c r="D323" s="117"/>
      <c r="E323" s="117"/>
      <c r="F323" s="117"/>
      <c r="G323" s="117"/>
      <c r="H323" s="117"/>
      <c r="I323" s="117"/>
      <c r="J323" s="117"/>
      <c r="K323" s="117"/>
      <c r="L323" s="117"/>
      <c r="M323" s="117"/>
      <c r="N323" s="118"/>
      <c r="O323" s="65"/>
      <c r="P323" s="65"/>
      <c r="V323" s="91"/>
      <c r="W323" s="91"/>
    </row>
    <row r="324" spans="1:23" ht="15.75" customHeight="1">
      <c r="A324" s="106" t="s">
        <v>787</v>
      </c>
      <c r="B324" s="62">
        <f>SUM(B326:B330)</f>
        <v>14842</v>
      </c>
      <c r="C324" s="62">
        <f>SUM(C326:C330)</f>
        <v>1100</v>
      </c>
      <c r="D324" s="62">
        <f>SUM(D326:D330)</f>
        <v>11198</v>
      </c>
      <c r="E324" s="97" t="s">
        <v>374</v>
      </c>
      <c r="F324" s="97" t="s">
        <v>374</v>
      </c>
      <c r="G324" s="97" t="s">
        <v>374</v>
      </c>
      <c r="H324" s="62">
        <f>SUM(H326:H330)</f>
        <v>2544</v>
      </c>
      <c r="I324" s="97" t="s">
        <v>374</v>
      </c>
      <c r="J324" s="97" t="s">
        <v>374</v>
      </c>
      <c r="K324" s="97" t="s">
        <v>374</v>
      </c>
      <c r="L324" s="97" t="s">
        <v>374</v>
      </c>
      <c r="M324" s="97" t="s">
        <v>374</v>
      </c>
      <c r="N324" s="98" t="s">
        <v>374</v>
      </c>
      <c r="O324" s="112" t="s">
        <v>374</v>
      </c>
      <c r="P324" s="112" t="s">
        <v>374</v>
      </c>
      <c r="V324" s="91"/>
      <c r="W324" s="91"/>
    </row>
    <row r="325" spans="1:23" ht="15.75" customHeight="1">
      <c r="A325" s="120"/>
      <c r="B325" s="64"/>
      <c r="C325" s="64"/>
      <c r="D325" s="117"/>
      <c r="E325" s="51"/>
      <c r="F325" s="51"/>
      <c r="G325" s="51"/>
      <c r="H325" s="117"/>
      <c r="I325" s="51"/>
      <c r="J325" s="51"/>
      <c r="K325" s="51"/>
      <c r="L325" s="117"/>
      <c r="M325" s="51"/>
      <c r="N325" s="21"/>
      <c r="O325" s="65"/>
      <c r="P325" s="65"/>
      <c r="V325" s="91"/>
      <c r="W325" s="91"/>
    </row>
    <row r="326" spans="1:23" ht="15.75" customHeight="1">
      <c r="A326" s="120" t="s">
        <v>892</v>
      </c>
      <c r="B326" s="26">
        <f>SUM(C326:P326)</f>
        <v>683</v>
      </c>
      <c r="C326" s="24">
        <f>'c-10'!E34</f>
        <v>262</v>
      </c>
      <c r="D326" s="121" t="s">
        <v>374</v>
      </c>
      <c r="E326" s="117" t="s">
        <v>374</v>
      </c>
      <c r="F326" s="117" t="s">
        <v>374</v>
      </c>
      <c r="G326" s="117" t="s">
        <v>374</v>
      </c>
      <c r="H326" s="24">
        <f>'c-17'!F29</f>
        <v>421</v>
      </c>
      <c r="I326" s="117" t="s">
        <v>374</v>
      </c>
      <c r="J326" s="117" t="s">
        <v>374</v>
      </c>
      <c r="K326" s="117" t="s">
        <v>374</v>
      </c>
      <c r="L326" s="117" t="s">
        <v>374</v>
      </c>
      <c r="M326" s="117" t="s">
        <v>374</v>
      </c>
      <c r="N326" s="118" t="s">
        <v>374</v>
      </c>
      <c r="O326" s="65" t="s">
        <v>374</v>
      </c>
      <c r="P326" s="65" t="s">
        <v>374</v>
      </c>
      <c r="V326" s="91"/>
      <c r="W326" s="91"/>
    </row>
    <row r="327" spans="1:23" ht="15.75" customHeight="1">
      <c r="A327" s="120" t="s">
        <v>788</v>
      </c>
      <c r="B327" s="26">
        <f>SUM(C327:P327)</f>
        <v>5458</v>
      </c>
      <c r="C327" s="24">
        <f>'c-10'!E123</f>
        <v>253</v>
      </c>
      <c r="D327" s="121">
        <f>'c-11'!E46</f>
        <v>4597</v>
      </c>
      <c r="E327" s="117" t="s">
        <v>374</v>
      </c>
      <c r="F327" s="117" t="s">
        <v>374</v>
      </c>
      <c r="G327" s="117" t="s">
        <v>374</v>
      </c>
      <c r="H327" s="24">
        <f>'c-17'!F118</f>
        <v>608</v>
      </c>
      <c r="I327" s="117" t="s">
        <v>374</v>
      </c>
      <c r="J327" s="117" t="s">
        <v>374</v>
      </c>
      <c r="K327" s="117" t="s">
        <v>374</v>
      </c>
      <c r="L327" s="117" t="s">
        <v>374</v>
      </c>
      <c r="M327" s="117" t="s">
        <v>374</v>
      </c>
      <c r="N327" s="118" t="s">
        <v>374</v>
      </c>
      <c r="O327" s="65" t="s">
        <v>374</v>
      </c>
      <c r="P327" s="65" t="s">
        <v>374</v>
      </c>
    </row>
    <row r="328" spans="1:23" ht="15.75" customHeight="1">
      <c r="A328" s="120" t="s">
        <v>320</v>
      </c>
      <c r="B328" s="26">
        <f>SUM(C328:P328)</f>
        <v>2136</v>
      </c>
      <c r="C328" s="24">
        <f>'c-10'!E52</f>
        <v>174</v>
      </c>
      <c r="D328" s="121">
        <f>'c-11'!E24</f>
        <v>1589</v>
      </c>
      <c r="E328" s="117" t="s">
        <v>374</v>
      </c>
      <c r="F328" s="117" t="s">
        <v>374</v>
      </c>
      <c r="G328" s="117" t="s">
        <v>374</v>
      </c>
      <c r="H328" s="24">
        <f>'c-17'!F46</f>
        <v>373</v>
      </c>
      <c r="I328" s="117" t="s">
        <v>374</v>
      </c>
      <c r="J328" s="117" t="s">
        <v>374</v>
      </c>
      <c r="K328" s="117" t="s">
        <v>374</v>
      </c>
      <c r="L328" s="117" t="s">
        <v>374</v>
      </c>
      <c r="M328" s="117" t="s">
        <v>374</v>
      </c>
      <c r="N328" s="118" t="s">
        <v>374</v>
      </c>
      <c r="O328" s="65" t="s">
        <v>374</v>
      </c>
      <c r="P328" s="65" t="s">
        <v>374</v>
      </c>
    </row>
    <row r="329" spans="1:23" ht="15.75" customHeight="1">
      <c r="A329" s="120" t="s">
        <v>789</v>
      </c>
      <c r="B329" s="26">
        <f>SUM(C329:P329)</f>
        <v>2147</v>
      </c>
      <c r="C329" s="24">
        <f>'c-10'!E61</f>
        <v>288</v>
      </c>
      <c r="D329" s="121">
        <f>'c-11'!E27</f>
        <v>1562</v>
      </c>
      <c r="E329" s="117" t="s">
        <v>374</v>
      </c>
      <c r="F329" s="117" t="s">
        <v>374</v>
      </c>
      <c r="G329" s="117" t="s">
        <v>374</v>
      </c>
      <c r="H329" s="24">
        <f>'c-17'!F56</f>
        <v>297</v>
      </c>
      <c r="I329" s="117" t="s">
        <v>374</v>
      </c>
      <c r="J329" s="117" t="s">
        <v>374</v>
      </c>
      <c r="K329" s="117" t="s">
        <v>374</v>
      </c>
      <c r="L329" s="117" t="s">
        <v>374</v>
      </c>
      <c r="M329" s="117" t="s">
        <v>374</v>
      </c>
      <c r="N329" s="118" t="s">
        <v>374</v>
      </c>
      <c r="O329" s="65" t="s">
        <v>374</v>
      </c>
      <c r="P329" s="65" t="s">
        <v>374</v>
      </c>
    </row>
    <row r="330" spans="1:23" ht="15.75" customHeight="1">
      <c r="A330" s="120" t="s">
        <v>790</v>
      </c>
      <c r="B330" s="26">
        <f>SUM(C330:P330)</f>
        <v>4418</v>
      </c>
      <c r="C330" s="24">
        <f>'c-10'!E144</f>
        <v>123</v>
      </c>
      <c r="D330" s="121">
        <f>'c-11'!E55</f>
        <v>3450</v>
      </c>
      <c r="E330" s="117" t="s">
        <v>374</v>
      </c>
      <c r="F330" s="117" t="s">
        <v>374</v>
      </c>
      <c r="G330" s="117" t="s">
        <v>374</v>
      </c>
      <c r="H330" s="24">
        <f>'c-17'!F139</f>
        <v>845</v>
      </c>
      <c r="I330" s="117" t="s">
        <v>374</v>
      </c>
      <c r="J330" s="117" t="s">
        <v>374</v>
      </c>
      <c r="K330" s="117" t="s">
        <v>374</v>
      </c>
      <c r="L330" s="117" t="s">
        <v>374</v>
      </c>
      <c r="M330" s="117" t="s">
        <v>374</v>
      </c>
      <c r="N330" s="118" t="s">
        <v>374</v>
      </c>
      <c r="O330" s="65" t="s">
        <v>374</v>
      </c>
      <c r="P330" s="65" t="s">
        <v>374</v>
      </c>
    </row>
    <row r="331" spans="1:23" ht="15.75" customHeight="1">
      <c r="A331" s="120"/>
      <c r="B331" s="64"/>
      <c r="C331" s="64"/>
      <c r="D331" s="117"/>
      <c r="E331" s="117"/>
      <c r="F331" s="117"/>
      <c r="G331" s="117"/>
      <c r="H331" s="117"/>
      <c r="I331" s="117"/>
      <c r="J331" s="117"/>
      <c r="K331" s="117"/>
      <c r="L331" s="117"/>
      <c r="M331" s="117"/>
      <c r="N331" s="118"/>
      <c r="O331" s="65"/>
      <c r="P331" s="65"/>
    </row>
    <row r="332" spans="1:23" ht="15.75" customHeight="1">
      <c r="A332" s="106" t="s">
        <v>791</v>
      </c>
      <c r="B332" s="62">
        <f>SUM(B334:B350,B359:B402)</f>
        <v>77835</v>
      </c>
      <c r="C332" s="62">
        <f>SUM(C334:C350,C359:C402)</f>
        <v>3787</v>
      </c>
      <c r="D332" s="62">
        <f>SUM(D334:D350,D359:D402)</f>
        <v>2327</v>
      </c>
      <c r="E332" s="97" t="s">
        <v>374</v>
      </c>
      <c r="F332" s="97" t="s">
        <v>374</v>
      </c>
      <c r="G332" s="97" t="s">
        <v>374</v>
      </c>
      <c r="H332" s="62">
        <f>SUM(H334:H350,H359:H402)</f>
        <v>5790</v>
      </c>
      <c r="I332" s="97" t="s">
        <v>374</v>
      </c>
      <c r="J332" s="62">
        <f>SUM(J334:J350,J359:J402)</f>
        <v>23305</v>
      </c>
      <c r="K332" s="97">
        <f>SUM(K334:K350,K359:K402)</f>
        <v>12867</v>
      </c>
      <c r="L332" s="62">
        <f>SUM(L334:L350,L359:L402)</f>
        <v>15531</v>
      </c>
      <c r="M332" s="98" t="s">
        <v>374</v>
      </c>
      <c r="N332" s="62">
        <f>SUM(N334:N350,N359:N402)</f>
        <v>14228</v>
      </c>
      <c r="O332" s="112" t="s">
        <v>374</v>
      </c>
      <c r="P332" s="112" t="s">
        <v>374</v>
      </c>
    </row>
    <row r="333" spans="1:23" ht="15.75" customHeight="1">
      <c r="A333" s="120"/>
      <c r="B333" s="64"/>
      <c r="C333" s="117"/>
      <c r="D333" s="117"/>
      <c r="E333" s="51"/>
      <c r="F333" s="51"/>
      <c r="G333" s="117"/>
      <c r="H333" s="118"/>
      <c r="I333" s="26"/>
      <c r="J333" s="117"/>
      <c r="K333" s="117"/>
      <c r="L333" s="117"/>
      <c r="M333" s="51"/>
      <c r="N333" s="118"/>
      <c r="O333" s="65"/>
      <c r="P333" s="65"/>
    </row>
    <row r="334" spans="1:23" ht="15.75" customHeight="1">
      <c r="A334" s="120" t="s">
        <v>893</v>
      </c>
      <c r="B334" s="26">
        <f t="shared" ref="B334:B350" si="17">SUM(C334:P334)</f>
        <v>879</v>
      </c>
      <c r="C334" s="24">
        <f>'c-10'!E35</f>
        <v>103</v>
      </c>
      <c r="D334" s="121" t="s">
        <v>374</v>
      </c>
      <c r="E334" s="117" t="s">
        <v>374</v>
      </c>
      <c r="F334" s="117" t="s">
        <v>374</v>
      </c>
      <c r="G334" s="117" t="s">
        <v>374</v>
      </c>
      <c r="H334" s="65">
        <f>'c-17'!F30</f>
        <v>77</v>
      </c>
      <c r="I334" s="64" t="s">
        <v>374</v>
      </c>
      <c r="J334" s="26">
        <f>'c-23'!F25</f>
        <v>404</v>
      </c>
      <c r="K334" s="117" t="s">
        <v>374</v>
      </c>
      <c r="L334" s="26">
        <f>'c-15'!F24</f>
        <v>295</v>
      </c>
      <c r="M334" s="117" t="s">
        <v>374</v>
      </c>
      <c r="N334" s="118" t="s">
        <v>374</v>
      </c>
      <c r="O334" s="65" t="s">
        <v>374</v>
      </c>
      <c r="P334" s="65" t="s">
        <v>374</v>
      </c>
    </row>
    <row r="335" spans="1:23" ht="15.75" customHeight="1">
      <c r="A335" s="120" t="s">
        <v>792</v>
      </c>
      <c r="B335" s="26">
        <f t="shared" si="17"/>
        <v>717</v>
      </c>
      <c r="C335" s="24">
        <f>'c-10'!E36</f>
        <v>107</v>
      </c>
      <c r="D335" s="121" t="s">
        <v>374</v>
      </c>
      <c r="E335" s="117" t="s">
        <v>374</v>
      </c>
      <c r="F335" s="117" t="s">
        <v>374</v>
      </c>
      <c r="G335" s="117" t="s">
        <v>374</v>
      </c>
      <c r="H335" s="65">
        <f>'c-17'!F31</f>
        <v>39</v>
      </c>
      <c r="I335" s="64" t="s">
        <v>374</v>
      </c>
      <c r="J335" s="26">
        <f>'c-23'!F26</f>
        <v>313</v>
      </c>
      <c r="K335" s="117" t="s">
        <v>374</v>
      </c>
      <c r="L335" s="26">
        <f>'c-15'!F25</f>
        <v>258</v>
      </c>
      <c r="M335" s="117" t="s">
        <v>374</v>
      </c>
      <c r="N335" s="118" t="s">
        <v>374</v>
      </c>
      <c r="O335" s="65" t="s">
        <v>374</v>
      </c>
      <c r="P335" s="65" t="s">
        <v>374</v>
      </c>
    </row>
    <row r="336" spans="1:23" ht="15.75" customHeight="1">
      <c r="A336" s="120" t="s">
        <v>793</v>
      </c>
      <c r="B336" s="26">
        <f t="shared" si="17"/>
        <v>1651</v>
      </c>
      <c r="C336" s="24">
        <f>'c-10'!E37</f>
        <v>188</v>
      </c>
      <c r="D336" s="121" t="s">
        <v>374</v>
      </c>
      <c r="E336" s="117" t="s">
        <v>374</v>
      </c>
      <c r="F336" s="117" t="s">
        <v>374</v>
      </c>
      <c r="G336" s="117" t="s">
        <v>374</v>
      </c>
      <c r="H336" s="65">
        <f>'c-17'!F32</f>
        <v>41</v>
      </c>
      <c r="I336" s="64" t="s">
        <v>374</v>
      </c>
      <c r="J336" s="26">
        <f>'c-23'!F27</f>
        <v>917</v>
      </c>
      <c r="K336" s="117" t="s">
        <v>374</v>
      </c>
      <c r="L336" s="26">
        <f>'c-15'!F26</f>
        <v>505</v>
      </c>
      <c r="M336" s="117" t="s">
        <v>374</v>
      </c>
      <c r="N336" s="118" t="s">
        <v>374</v>
      </c>
      <c r="O336" s="65" t="s">
        <v>374</v>
      </c>
      <c r="P336" s="65" t="s">
        <v>374</v>
      </c>
    </row>
    <row r="337" spans="1:16" ht="15.75" customHeight="1">
      <c r="A337" s="120" t="s">
        <v>794</v>
      </c>
      <c r="B337" s="26">
        <f t="shared" si="17"/>
        <v>4269</v>
      </c>
      <c r="C337" s="24">
        <f>'c-10'!E38</f>
        <v>109</v>
      </c>
      <c r="D337" s="121" t="s">
        <v>374</v>
      </c>
      <c r="E337" s="117" t="s">
        <v>374</v>
      </c>
      <c r="F337" s="117" t="s">
        <v>374</v>
      </c>
      <c r="G337" s="117" t="s">
        <v>374</v>
      </c>
      <c r="H337" s="65">
        <f>'c-17'!F33</f>
        <v>62</v>
      </c>
      <c r="I337" s="64" t="s">
        <v>374</v>
      </c>
      <c r="J337" s="26">
        <f>'c-23'!F28</f>
        <v>790</v>
      </c>
      <c r="K337" s="117" t="s">
        <v>374</v>
      </c>
      <c r="L337" s="26">
        <f>'c-15'!F28</f>
        <v>1858</v>
      </c>
      <c r="M337" s="117" t="s">
        <v>374</v>
      </c>
      <c r="N337" s="65">
        <f>'c-16'!F26</f>
        <v>1450</v>
      </c>
      <c r="O337" s="65" t="s">
        <v>374</v>
      </c>
      <c r="P337" s="65" t="s">
        <v>374</v>
      </c>
    </row>
    <row r="338" spans="1:16" ht="15.75" customHeight="1">
      <c r="A338" s="120" t="s">
        <v>795</v>
      </c>
      <c r="B338" s="26">
        <f t="shared" si="17"/>
        <v>742</v>
      </c>
      <c r="C338" s="24">
        <f>'c-10'!E39</f>
        <v>33</v>
      </c>
      <c r="D338" s="121" t="s">
        <v>374</v>
      </c>
      <c r="E338" s="117" t="s">
        <v>374</v>
      </c>
      <c r="F338" s="117" t="s">
        <v>374</v>
      </c>
      <c r="G338" s="117" t="s">
        <v>374</v>
      </c>
      <c r="H338" s="65">
        <f>'c-17'!F34</f>
        <v>25</v>
      </c>
      <c r="I338" s="64" t="s">
        <v>374</v>
      </c>
      <c r="J338" s="26">
        <f>'c-23'!F29</f>
        <v>212</v>
      </c>
      <c r="K338" s="51">
        <f>'c-24'!F25</f>
        <v>61</v>
      </c>
      <c r="L338" s="26">
        <f>'c-15'!F29</f>
        <v>118</v>
      </c>
      <c r="M338" s="117" t="s">
        <v>374</v>
      </c>
      <c r="N338" s="65">
        <f>'c-16'!F27</f>
        <v>293</v>
      </c>
      <c r="O338" s="65" t="s">
        <v>374</v>
      </c>
      <c r="P338" s="65" t="s">
        <v>374</v>
      </c>
    </row>
    <row r="339" spans="1:16" ht="15.75" customHeight="1">
      <c r="A339" s="120" t="s">
        <v>796</v>
      </c>
      <c r="B339" s="26">
        <f t="shared" si="17"/>
        <v>1149</v>
      </c>
      <c r="C339" s="24">
        <f>'c-10'!E25</f>
        <v>215</v>
      </c>
      <c r="D339" s="121" t="s">
        <v>374</v>
      </c>
      <c r="E339" s="117" t="s">
        <v>374</v>
      </c>
      <c r="F339" s="117" t="s">
        <v>374</v>
      </c>
      <c r="G339" s="117" t="s">
        <v>374</v>
      </c>
      <c r="H339" s="65">
        <f>'c-17'!F19</f>
        <v>138</v>
      </c>
      <c r="I339" s="64" t="s">
        <v>374</v>
      </c>
      <c r="J339" s="26">
        <f>'c-23'!F13</f>
        <v>796</v>
      </c>
      <c r="K339" s="117" t="s">
        <v>374</v>
      </c>
      <c r="L339" s="117" t="s">
        <v>374</v>
      </c>
      <c r="M339" s="117" t="s">
        <v>374</v>
      </c>
      <c r="N339" s="118" t="s">
        <v>374</v>
      </c>
      <c r="O339" s="65" t="s">
        <v>374</v>
      </c>
      <c r="P339" s="65" t="s">
        <v>374</v>
      </c>
    </row>
    <row r="340" spans="1:16" ht="15.75" customHeight="1">
      <c r="A340" s="120" t="s">
        <v>797</v>
      </c>
      <c r="B340" s="26">
        <f t="shared" si="17"/>
        <v>1040</v>
      </c>
      <c r="C340" s="24">
        <f>'c-10'!E23</f>
        <v>221</v>
      </c>
      <c r="D340" s="121" t="s">
        <v>374</v>
      </c>
      <c r="E340" s="117" t="s">
        <v>374</v>
      </c>
      <c r="F340" s="117" t="s">
        <v>374</v>
      </c>
      <c r="G340" s="117" t="s">
        <v>374</v>
      </c>
      <c r="H340" s="65">
        <f>'c-17'!F14</f>
        <v>159</v>
      </c>
      <c r="I340" s="64" t="s">
        <v>374</v>
      </c>
      <c r="J340" s="26">
        <f>'c-23'!F14</f>
        <v>660</v>
      </c>
      <c r="K340" s="117" t="s">
        <v>374</v>
      </c>
      <c r="L340" s="117" t="s">
        <v>374</v>
      </c>
      <c r="M340" s="117" t="s">
        <v>374</v>
      </c>
      <c r="N340" s="118" t="s">
        <v>374</v>
      </c>
      <c r="O340" s="65" t="s">
        <v>374</v>
      </c>
      <c r="P340" s="65" t="s">
        <v>374</v>
      </c>
    </row>
    <row r="341" spans="1:16" ht="15.75" customHeight="1">
      <c r="A341" s="120" t="s">
        <v>798</v>
      </c>
      <c r="B341" s="26">
        <f t="shared" si="17"/>
        <v>4200</v>
      </c>
      <c r="C341" s="24">
        <f>'c-10'!E24</f>
        <v>121</v>
      </c>
      <c r="D341" s="121" t="s">
        <v>374</v>
      </c>
      <c r="E341" s="64" t="s">
        <v>374</v>
      </c>
      <c r="F341" s="117" t="s">
        <v>374</v>
      </c>
      <c r="G341" s="117" t="s">
        <v>374</v>
      </c>
      <c r="H341" s="65">
        <f>'c-17'!F15</f>
        <v>117</v>
      </c>
      <c r="I341" s="64" t="s">
        <v>374</v>
      </c>
      <c r="J341" s="26">
        <f>'c-23'!F15</f>
        <v>828</v>
      </c>
      <c r="K341" s="51">
        <f>'c-24'!F13</f>
        <v>1597</v>
      </c>
      <c r="L341" s="26">
        <f>'c-15'!F14</f>
        <v>851</v>
      </c>
      <c r="M341" s="117" t="s">
        <v>374</v>
      </c>
      <c r="N341" s="65">
        <f>'c-16'!F17</f>
        <v>686</v>
      </c>
      <c r="O341" s="65" t="s">
        <v>374</v>
      </c>
      <c r="P341" s="65" t="s">
        <v>374</v>
      </c>
    </row>
    <row r="342" spans="1:16" ht="15.75" customHeight="1">
      <c r="A342" s="120" t="s">
        <v>799</v>
      </c>
      <c r="B342" s="26">
        <f t="shared" si="17"/>
        <v>686</v>
      </c>
      <c r="C342" s="24">
        <f>'c-10'!E20</f>
        <v>36</v>
      </c>
      <c r="D342" s="121" t="s">
        <v>374</v>
      </c>
      <c r="E342" s="64" t="s">
        <v>374</v>
      </c>
      <c r="F342" s="117" t="s">
        <v>374</v>
      </c>
      <c r="G342" s="117" t="s">
        <v>374</v>
      </c>
      <c r="H342" s="65">
        <f>'c-17'!F16</f>
        <v>79</v>
      </c>
      <c r="I342" s="64" t="s">
        <v>374</v>
      </c>
      <c r="J342" s="26">
        <f>'c-23'!F16</f>
        <v>139</v>
      </c>
      <c r="K342" s="51">
        <f>'c-24'!F14</f>
        <v>234</v>
      </c>
      <c r="L342" s="26">
        <f>'c-15'!F15</f>
        <v>94</v>
      </c>
      <c r="M342" s="117" t="s">
        <v>374</v>
      </c>
      <c r="N342" s="65">
        <f>'c-16'!F15</f>
        <v>104</v>
      </c>
      <c r="O342" s="65" t="s">
        <v>374</v>
      </c>
      <c r="P342" s="65" t="s">
        <v>374</v>
      </c>
    </row>
    <row r="343" spans="1:16" ht="15.75" customHeight="1">
      <c r="A343" s="120" t="s">
        <v>800</v>
      </c>
      <c r="B343" s="26">
        <f t="shared" si="17"/>
        <v>1664</v>
      </c>
      <c r="C343" s="24">
        <f>'c-10'!E21</f>
        <v>54</v>
      </c>
      <c r="D343" s="121" t="s">
        <v>374</v>
      </c>
      <c r="E343" s="64" t="s">
        <v>374</v>
      </c>
      <c r="F343" s="117" t="s">
        <v>374</v>
      </c>
      <c r="G343" s="117" t="s">
        <v>374</v>
      </c>
      <c r="H343" s="65">
        <f>'c-17'!F17</f>
        <v>114</v>
      </c>
      <c r="I343" s="64" t="s">
        <v>374</v>
      </c>
      <c r="J343" s="26">
        <f>'c-23'!F17</f>
        <v>682</v>
      </c>
      <c r="K343" s="51">
        <f>'c-24'!F15</f>
        <v>442</v>
      </c>
      <c r="L343" s="26">
        <f>'c-15'!F16</f>
        <v>372</v>
      </c>
      <c r="M343" s="117" t="s">
        <v>374</v>
      </c>
      <c r="N343" s="66" t="s">
        <v>374</v>
      </c>
      <c r="O343" s="65" t="s">
        <v>374</v>
      </c>
      <c r="P343" s="65" t="s">
        <v>374</v>
      </c>
    </row>
    <row r="344" spans="1:16" ht="15.75" customHeight="1">
      <c r="A344" s="120" t="s">
        <v>801</v>
      </c>
      <c r="B344" s="26">
        <f t="shared" si="17"/>
        <v>241</v>
      </c>
      <c r="C344" s="24">
        <f>'c-10'!E22</f>
        <v>11</v>
      </c>
      <c r="D344" s="121" t="s">
        <v>374</v>
      </c>
      <c r="E344" s="64" t="s">
        <v>374</v>
      </c>
      <c r="F344" s="117" t="s">
        <v>374</v>
      </c>
      <c r="G344" s="117" t="s">
        <v>374</v>
      </c>
      <c r="H344" s="65">
        <f>'c-17'!F18</f>
        <v>13</v>
      </c>
      <c r="I344" s="64" t="s">
        <v>374</v>
      </c>
      <c r="J344" s="26">
        <f>'c-23'!F18</f>
        <v>113</v>
      </c>
      <c r="K344" s="51">
        <f>'c-24'!F16</f>
        <v>30</v>
      </c>
      <c r="L344" s="26">
        <f>'c-15'!F17</f>
        <v>20</v>
      </c>
      <c r="M344" s="117" t="s">
        <v>374</v>
      </c>
      <c r="N344" s="65">
        <f>'c-16'!F16</f>
        <v>54</v>
      </c>
      <c r="O344" s="65" t="s">
        <v>374</v>
      </c>
      <c r="P344" s="65" t="s">
        <v>374</v>
      </c>
    </row>
    <row r="345" spans="1:16" ht="15.75" customHeight="1">
      <c r="A345" s="120" t="s">
        <v>802</v>
      </c>
      <c r="B345" s="26">
        <f t="shared" si="17"/>
        <v>1344</v>
      </c>
      <c r="C345" s="24">
        <f>'c-10'!E77</f>
        <v>41</v>
      </c>
      <c r="D345" s="121" t="s">
        <v>374</v>
      </c>
      <c r="E345" s="64" t="s">
        <v>374</v>
      </c>
      <c r="F345" s="117" t="s">
        <v>374</v>
      </c>
      <c r="G345" s="117" t="s">
        <v>374</v>
      </c>
      <c r="H345" s="65">
        <f>'c-17'!F72</f>
        <v>65</v>
      </c>
      <c r="I345" s="64" t="s">
        <v>374</v>
      </c>
      <c r="J345" s="26">
        <f>'c-23'!F60</f>
        <v>350</v>
      </c>
      <c r="K345" s="51">
        <f>'c-24'!F50</f>
        <v>199</v>
      </c>
      <c r="L345" s="26">
        <f>'c-15'!F61</f>
        <v>532</v>
      </c>
      <c r="M345" s="117" t="s">
        <v>374</v>
      </c>
      <c r="N345" s="65">
        <f>'c-16'!F56</f>
        <v>157</v>
      </c>
      <c r="O345" s="65" t="s">
        <v>374</v>
      </c>
      <c r="P345" s="65" t="s">
        <v>374</v>
      </c>
    </row>
    <row r="346" spans="1:16" ht="15.75" customHeight="1">
      <c r="A346" s="120" t="s">
        <v>803</v>
      </c>
      <c r="B346" s="26">
        <f t="shared" si="17"/>
        <v>3188</v>
      </c>
      <c r="C346" s="24">
        <f>'c-10'!E62</f>
        <v>163</v>
      </c>
      <c r="D346" s="121">
        <f>'c-11'!E28</f>
        <v>1759</v>
      </c>
      <c r="E346" s="64" t="s">
        <v>374</v>
      </c>
      <c r="F346" s="117" t="s">
        <v>374</v>
      </c>
      <c r="G346" s="117" t="s">
        <v>374</v>
      </c>
      <c r="H346" s="65">
        <f>'c-17'!F57</f>
        <v>474</v>
      </c>
      <c r="I346" s="64" t="s">
        <v>374</v>
      </c>
      <c r="J346" s="26">
        <f>'c-23'!F47</f>
        <v>389</v>
      </c>
      <c r="K346" s="117" t="s">
        <v>374</v>
      </c>
      <c r="L346" s="26">
        <f>'c-15'!F46</f>
        <v>403</v>
      </c>
      <c r="M346" s="117" t="s">
        <v>374</v>
      </c>
      <c r="N346" s="66" t="s">
        <v>374</v>
      </c>
      <c r="O346" s="65" t="s">
        <v>374</v>
      </c>
      <c r="P346" s="65" t="s">
        <v>374</v>
      </c>
    </row>
    <row r="347" spans="1:16" ht="15.75" customHeight="1">
      <c r="A347" s="120" t="s">
        <v>1018</v>
      </c>
      <c r="B347" s="26">
        <f t="shared" si="17"/>
        <v>398</v>
      </c>
      <c r="C347" s="24">
        <f>'c-10'!E63</f>
        <v>12</v>
      </c>
      <c r="D347" s="121" t="s">
        <v>374</v>
      </c>
      <c r="E347" s="64" t="s">
        <v>374</v>
      </c>
      <c r="F347" s="117" t="s">
        <v>374</v>
      </c>
      <c r="G347" s="117" t="s">
        <v>374</v>
      </c>
      <c r="H347" s="65">
        <f>'c-17'!F58</f>
        <v>30</v>
      </c>
      <c r="I347" s="64" t="s">
        <v>374</v>
      </c>
      <c r="J347" s="26">
        <f>'c-23'!F48</f>
        <v>74</v>
      </c>
      <c r="K347" s="51">
        <f>'c-24'!F43</f>
        <v>147</v>
      </c>
      <c r="L347" s="26">
        <f>'c-15'!F47</f>
        <v>53</v>
      </c>
      <c r="M347" s="117" t="s">
        <v>374</v>
      </c>
      <c r="N347" s="65">
        <f>'c-16'!F47</f>
        <v>82</v>
      </c>
      <c r="O347" s="65" t="s">
        <v>374</v>
      </c>
      <c r="P347" s="65" t="s">
        <v>374</v>
      </c>
    </row>
    <row r="348" spans="1:16" ht="15.75" customHeight="1">
      <c r="A348" s="120" t="s">
        <v>804</v>
      </c>
      <c r="B348" s="26">
        <f t="shared" si="17"/>
        <v>923</v>
      </c>
      <c r="C348" s="24">
        <f>'c-10'!E44</f>
        <v>15</v>
      </c>
      <c r="D348" s="121" t="s">
        <v>374</v>
      </c>
      <c r="E348" s="64" t="s">
        <v>374</v>
      </c>
      <c r="F348" s="117" t="s">
        <v>374</v>
      </c>
      <c r="G348" s="117" t="s">
        <v>374</v>
      </c>
      <c r="H348" s="65">
        <f>'c-17'!F39</f>
        <v>42</v>
      </c>
      <c r="I348" s="64" t="s">
        <v>374</v>
      </c>
      <c r="J348" s="26">
        <f>'c-23'!F33</f>
        <v>202</v>
      </c>
      <c r="K348" s="51">
        <f>'c-24'!F30</f>
        <v>216</v>
      </c>
      <c r="L348" s="26">
        <f>'c-15'!F33</f>
        <v>139</v>
      </c>
      <c r="M348" s="117" t="s">
        <v>374</v>
      </c>
      <c r="N348" s="65">
        <f>'c-16'!F31</f>
        <v>309</v>
      </c>
      <c r="O348" s="65" t="s">
        <v>374</v>
      </c>
      <c r="P348" s="65" t="s">
        <v>374</v>
      </c>
    </row>
    <row r="349" spans="1:16" ht="15.75" customHeight="1">
      <c r="A349" s="120" t="s">
        <v>805</v>
      </c>
      <c r="B349" s="26">
        <f t="shared" si="17"/>
        <v>915</v>
      </c>
      <c r="C349" s="24">
        <f>'c-10'!E64</f>
        <v>37</v>
      </c>
      <c r="D349" s="121" t="s">
        <v>374</v>
      </c>
      <c r="E349" s="117" t="s">
        <v>374</v>
      </c>
      <c r="F349" s="117" t="s">
        <v>374</v>
      </c>
      <c r="G349" s="117" t="s">
        <v>374</v>
      </c>
      <c r="H349" s="65">
        <f>'c-17'!F59</f>
        <v>52</v>
      </c>
      <c r="I349" s="64" t="s">
        <v>374</v>
      </c>
      <c r="J349" s="26">
        <f>'c-23'!F49</f>
        <v>198</v>
      </c>
      <c r="K349" s="51" t="s">
        <v>374</v>
      </c>
      <c r="L349" s="26">
        <f>'c-15'!F48</f>
        <v>456</v>
      </c>
      <c r="M349" s="117" t="s">
        <v>374</v>
      </c>
      <c r="N349" s="65">
        <f>'c-16'!F48</f>
        <v>172</v>
      </c>
      <c r="O349" s="65" t="s">
        <v>374</v>
      </c>
      <c r="P349" s="65" t="s">
        <v>374</v>
      </c>
    </row>
    <row r="350" spans="1:16" ht="15.75" customHeight="1">
      <c r="A350" s="116" t="s">
        <v>806</v>
      </c>
      <c r="B350" s="26">
        <f t="shared" si="17"/>
        <v>1144</v>
      </c>
      <c r="C350" s="24">
        <f>'c-10'!E65</f>
        <v>88</v>
      </c>
      <c r="D350" s="24" t="s">
        <v>374</v>
      </c>
      <c r="E350" s="66" t="s">
        <v>374</v>
      </c>
      <c r="F350" s="66" t="s">
        <v>374</v>
      </c>
      <c r="G350" s="66" t="s">
        <v>374</v>
      </c>
      <c r="H350" s="65">
        <f>'c-17'!F60</f>
        <v>81</v>
      </c>
      <c r="I350" s="66" t="s">
        <v>374</v>
      </c>
      <c r="J350" s="26">
        <f>'c-23'!F50</f>
        <v>426</v>
      </c>
      <c r="K350" s="118" t="s">
        <v>374</v>
      </c>
      <c r="L350" s="65">
        <f>'c-15'!F51</f>
        <v>202</v>
      </c>
      <c r="M350" s="66" t="s">
        <v>374</v>
      </c>
      <c r="N350" s="65">
        <f>'c-16'!F49</f>
        <v>347</v>
      </c>
      <c r="O350" s="65" t="s">
        <v>374</v>
      </c>
      <c r="P350" s="65" t="s">
        <v>374</v>
      </c>
    </row>
    <row r="351" spans="1:16" ht="15.75" customHeight="1">
      <c r="A351" s="143"/>
      <c r="B351" s="71"/>
      <c r="C351" s="136"/>
      <c r="D351" s="136"/>
      <c r="E351" s="105"/>
      <c r="F351" s="105"/>
      <c r="G351" s="105"/>
      <c r="H351" s="71"/>
      <c r="I351" s="105"/>
      <c r="J351" s="124"/>
      <c r="K351" s="137"/>
      <c r="L351" s="71"/>
      <c r="M351" s="105"/>
      <c r="N351" s="71"/>
      <c r="O351" s="71"/>
      <c r="P351" s="71"/>
    </row>
    <row r="352" spans="1:16" ht="15.75" customHeight="1">
      <c r="A352" s="138"/>
      <c r="B352" s="125"/>
      <c r="C352" s="139"/>
      <c r="D352" s="139"/>
      <c r="E352" s="125"/>
      <c r="F352" s="125"/>
      <c r="G352" s="125"/>
      <c r="H352" s="139"/>
      <c r="I352" s="125"/>
      <c r="J352" s="139"/>
      <c r="K352" s="125"/>
      <c r="L352" s="139"/>
      <c r="M352" s="125"/>
      <c r="N352" s="139"/>
      <c r="O352" s="94"/>
      <c r="P352" s="94"/>
    </row>
    <row r="353" spans="1:23" ht="15.75" customHeight="1">
      <c r="A353" s="138"/>
      <c r="B353" s="125"/>
      <c r="C353" s="139"/>
      <c r="D353" s="139"/>
      <c r="E353" s="125"/>
      <c r="F353" s="125"/>
      <c r="G353" s="125"/>
      <c r="H353" s="139"/>
      <c r="I353" s="125"/>
      <c r="J353" s="139"/>
      <c r="K353" s="125"/>
      <c r="L353" s="139"/>
      <c r="M353" s="125"/>
      <c r="N353" s="139"/>
      <c r="O353" s="94"/>
      <c r="P353" s="94"/>
    </row>
    <row r="354" spans="1:23" s="91" customFormat="1" ht="15.75" customHeight="1">
      <c r="A354" s="93" t="s">
        <v>680</v>
      </c>
      <c r="B354" s="146"/>
      <c r="C354" s="126"/>
      <c r="D354" s="126"/>
      <c r="E354" s="126"/>
      <c r="F354" s="126"/>
      <c r="G354" s="126"/>
      <c r="H354" s="126"/>
      <c r="I354" s="126"/>
      <c r="J354" s="126"/>
      <c r="K354" s="126"/>
      <c r="L354" s="126"/>
      <c r="M354" s="126"/>
      <c r="N354" s="126"/>
      <c r="O354" s="127"/>
      <c r="P354" s="127"/>
      <c r="V354" s="35"/>
      <c r="W354" s="35"/>
    </row>
    <row r="355" spans="1:23" s="91" customFormat="1" ht="15.75" customHeight="1">
      <c r="A355" s="128"/>
      <c r="B355" s="96"/>
      <c r="C355" s="454" t="s">
        <v>222</v>
      </c>
      <c r="D355" s="454"/>
      <c r="E355" s="454"/>
      <c r="F355" s="454"/>
      <c r="G355" s="454"/>
      <c r="H355" s="454"/>
      <c r="I355" s="454"/>
      <c r="J355" s="454"/>
      <c r="K355" s="454"/>
      <c r="L355" s="454"/>
      <c r="M355" s="454"/>
      <c r="N355" s="454"/>
      <c r="O355" s="454"/>
      <c r="P355" s="454"/>
      <c r="V355" s="35"/>
      <c r="W355" s="35"/>
    </row>
    <row r="356" spans="1:23" s="91" customFormat="1" ht="15.75" customHeight="1">
      <c r="A356" s="58" t="s">
        <v>359</v>
      </c>
      <c r="B356" s="97" t="s">
        <v>221</v>
      </c>
      <c r="C356" s="97" t="s">
        <v>333</v>
      </c>
      <c r="D356" s="97" t="s">
        <v>360</v>
      </c>
      <c r="E356" s="97" t="s">
        <v>361</v>
      </c>
      <c r="F356" s="97" t="s">
        <v>228</v>
      </c>
      <c r="G356" s="97" t="s">
        <v>362</v>
      </c>
      <c r="H356" s="97" t="s">
        <v>231</v>
      </c>
      <c r="I356" s="97" t="s">
        <v>232</v>
      </c>
      <c r="J356" s="97" t="s">
        <v>363</v>
      </c>
      <c r="K356" s="97" t="s">
        <v>235</v>
      </c>
      <c r="L356" s="97" t="s">
        <v>364</v>
      </c>
      <c r="M356" s="97" t="s">
        <v>365</v>
      </c>
      <c r="N356" s="98" t="s">
        <v>366</v>
      </c>
      <c r="O356" s="63" t="s">
        <v>367</v>
      </c>
      <c r="P356" s="63" t="s">
        <v>368</v>
      </c>
      <c r="V356" s="35"/>
      <c r="W356" s="35"/>
    </row>
    <row r="357" spans="1:23" s="91" customFormat="1" ht="15.75" customHeight="1">
      <c r="A357" s="129"/>
      <c r="B357" s="101"/>
      <c r="C357" s="101"/>
      <c r="D357" s="101"/>
      <c r="E357" s="102" t="s">
        <v>369</v>
      </c>
      <c r="F357" s="102"/>
      <c r="G357" s="102"/>
      <c r="H357" s="101"/>
      <c r="I357" s="102"/>
      <c r="J357" s="102" t="s">
        <v>370</v>
      </c>
      <c r="K357" s="101"/>
      <c r="L357" s="102" t="s">
        <v>371</v>
      </c>
      <c r="M357" s="102" t="s">
        <v>372</v>
      </c>
      <c r="N357" s="103" t="s">
        <v>373</v>
      </c>
      <c r="O357" s="104" t="s">
        <v>370</v>
      </c>
      <c r="P357" s="105"/>
      <c r="V357" s="35"/>
      <c r="W357" s="35"/>
    </row>
    <row r="358" spans="1:23" ht="15.75" customHeight="1">
      <c r="A358" s="120"/>
      <c r="B358" s="64"/>
      <c r="C358" s="24"/>
      <c r="D358" s="121"/>
      <c r="E358" s="117"/>
      <c r="F358" s="117"/>
      <c r="G358" s="117"/>
      <c r="H358" s="24"/>
      <c r="I358" s="117"/>
      <c r="J358" s="24"/>
      <c r="K358" s="66"/>
      <c r="L358" s="150"/>
      <c r="M358" s="117"/>
      <c r="N358" s="24"/>
      <c r="O358" s="65"/>
      <c r="P358" s="65"/>
    </row>
    <row r="359" spans="1:23" ht="15.75" customHeight="1">
      <c r="A359" s="120" t="s">
        <v>807</v>
      </c>
      <c r="B359" s="26">
        <f t="shared" ref="B359:B402" si="18">SUM(C359:P359)</f>
        <v>997</v>
      </c>
      <c r="C359" s="134">
        <f>'c-10'!E66</f>
        <v>46</v>
      </c>
      <c r="D359" s="24" t="s">
        <v>374</v>
      </c>
      <c r="E359" s="117" t="s">
        <v>374</v>
      </c>
      <c r="F359" s="117" t="s">
        <v>374</v>
      </c>
      <c r="G359" s="117" t="s">
        <v>374</v>
      </c>
      <c r="H359" s="65">
        <f>'c-17'!F61</f>
        <v>100</v>
      </c>
      <c r="I359" s="64" t="s">
        <v>374</v>
      </c>
      <c r="J359" s="65">
        <f>'c-23'!F51</f>
        <v>270</v>
      </c>
      <c r="K359" s="66" t="s">
        <v>374</v>
      </c>
      <c r="L359" s="26">
        <f>'c-15'!F52</f>
        <v>220</v>
      </c>
      <c r="M359" s="117" t="s">
        <v>374</v>
      </c>
      <c r="N359" s="65">
        <f>'c-16'!F50</f>
        <v>361</v>
      </c>
      <c r="O359" s="65" t="s">
        <v>374</v>
      </c>
      <c r="P359" s="65" t="s">
        <v>374</v>
      </c>
    </row>
    <row r="360" spans="1:23" ht="15.75" customHeight="1">
      <c r="A360" s="120" t="s">
        <v>808</v>
      </c>
      <c r="B360" s="26">
        <f t="shared" si="18"/>
        <v>1295</v>
      </c>
      <c r="C360" s="134">
        <f>'c-10'!E45</f>
        <v>28</v>
      </c>
      <c r="D360" s="24" t="s">
        <v>374</v>
      </c>
      <c r="E360" s="117" t="s">
        <v>374</v>
      </c>
      <c r="F360" s="117" t="s">
        <v>374</v>
      </c>
      <c r="G360" s="117" t="s">
        <v>374</v>
      </c>
      <c r="H360" s="65">
        <f>'c-17'!F40</f>
        <v>52</v>
      </c>
      <c r="I360" s="64" t="s">
        <v>374</v>
      </c>
      <c r="J360" s="65">
        <f>'c-23'!F34</f>
        <v>380</v>
      </c>
      <c r="K360" s="26">
        <f>'c-24'!F31</f>
        <v>488</v>
      </c>
      <c r="L360" s="26">
        <f>'c-15'!F34</f>
        <v>74</v>
      </c>
      <c r="M360" s="117" t="s">
        <v>374</v>
      </c>
      <c r="N360" s="65">
        <f>'c-16'!F32</f>
        <v>273</v>
      </c>
      <c r="O360" s="65" t="s">
        <v>374</v>
      </c>
      <c r="P360" s="65" t="s">
        <v>374</v>
      </c>
    </row>
    <row r="361" spans="1:23" ht="15.75" customHeight="1">
      <c r="A361" s="120" t="s">
        <v>809</v>
      </c>
      <c r="B361" s="26">
        <f t="shared" si="18"/>
        <v>634</v>
      </c>
      <c r="C361" s="134">
        <f>'c-10'!E46</f>
        <v>10</v>
      </c>
      <c r="D361" s="24" t="s">
        <v>374</v>
      </c>
      <c r="E361" s="117" t="s">
        <v>374</v>
      </c>
      <c r="F361" s="117" t="s">
        <v>374</v>
      </c>
      <c r="G361" s="117" t="s">
        <v>374</v>
      </c>
      <c r="H361" s="65">
        <f>'c-17'!F41</f>
        <v>10</v>
      </c>
      <c r="I361" s="64" t="s">
        <v>374</v>
      </c>
      <c r="J361" s="65">
        <f>'c-23'!F35</f>
        <v>75</v>
      </c>
      <c r="K361" s="26">
        <f>'c-24'!F29</f>
        <v>430</v>
      </c>
      <c r="L361" s="26">
        <f>'c-15'!F35</f>
        <v>33</v>
      </c>
      <c r="M361" s="117" t="s">
        <v>374</v>
      </c>
      <c r="N361" s="65">
        <f>'c-16'!F33</f>
        <v>76</v>
      </c>
      <c r="O361" s="65" t="s">
        <v>374</v>
      </c>
      <c r="P361" s="65" t="s">
        <v>374</v>
      </c>
    </row>
    <row r="362" spans="1:23" ht="15.75" customHeight="1">
      <c r="A362" s="120" t="s">
        <v>810</v>
      </c>
      <c r="B362" s="26">
        <f t="shared" si="18"/>
        <v>814</v>
      </c>
      <c r="C362" s="134">
        <f>'c-10'!E47</f>
        <v>57</v>
      </c>
      <c r="D362" s="24" t="s">
        <v>374</v>
      </c>
      <c r="E362" s="117" t="s">
        <v>374</v>
      </c>
      <c r="F362" s="117" t="s">
        <v>374</v>
      </c>
      <c r="G362" s="117" t="s">
        <v>374</v>
      </c>
      <c r="H362" s="65">
        <f>'c-17'!F42</f>
        <v>60</v>
      </c>
      <c r="I362" s="64" t="s">
        <v>374</v>
      </c>
      <c r="J362" s="65">
        <f>'c-23'!F36</f>
        <v>202</v>
      </c>
      <c r="K362" s="64" t="s">
        <v>374</v>
      </c>
      <c r="L362" s="26">
        <f>'c-15'!F36</f>
        <v>161</v>
      </c>
      <c r="M362" s="117" t="s">
        <v>374</v>
      </c>
      <c r="N362" s="65">
        <f>'c-16'!F34</f>
        <v>334</v>
      </c>
      <c r="O362" s="65" t="s">
        <v>374</v>
      </c>
      <c r="P362" s="65" t="s">
        <v>374</v>
      </c>
    </row>
    <row r="363" spans="1:23" ht="15.75" customHeight="1">
      <c r="A363" s="120" t="s">
        <v>811</v>
      </c>
      <c r="B363" s="26">
        <f t="shared" si="18"/>
        <v>1389</v>
      </c>
      <c r="C363" s="134">
        <f>'c-10'!E53</f>
        <v>69</v>
      </c>
      <c r="D363" s="24" t="s">
        <v>374</v>
      </c>
      <c r="E363" s="117" t="s">
        <v>374</v>
      </c>
      <c r="F363" s="117" t="s">
        <v>374</v>
      </c>
      <c r="G363" s="117" t="s">
        <v>374</v>
      </c>
      <c r="H363" s="65">
        <f>'c-17'!F47</f>
        <v>184</v>
      </c>
      <c r="I363" s="64" t="s">
        <v>374</v>
      </c>
      <c r="J363" s="65">
        <f>'c-23'!F40</f>
        <v>484</v>
      </c>
      <c r="K363" s="26">
        <f>'c-24'!F35</f>
        <v>132</v>
      </c>
      <c r="L363" s="26">
        <f>'c-15'!F40</f>
        <v>511</v>
      </c>
      <c r="M363" s="117" t="s">
        <v>374</v>
      </c>
      <c r="N363" s="65">
        <f>'c-16'!F38</f>
        <v>9</v>
      </c>
      <c r="O363" s="65" t="s">
        <v>374</v>
      </c>
      <c r="P363" s="65" t="s">
        <v>374</v>
      </c>
    </row>
    <row r="364" spans="1:23" ht="15.75" customHeight="1">
      <c r="A364" s="120" t="s">
        <v>109</v>
      </c>
      <c r="B364" s="26">
        <f t="shared" si="18"/>
        <v>904</v>
      </c>
      <c r="C364" s="134">
        <f>'c-10'!E54</f>
        <v>31</v>
      </c>
      <c r="D364" s="24" t="s">
        <v>374</v>
      </c>
      <c r="E364" s="117" t="s">
        <v>374</v>
      </c>
      <c r="F364" s="117" t="s">
        <v>374</v>
      </c>
      <c r="G364" s="117" t="s">
        <v>374</v>
      </c>
      <c r="H364" s="65">
        <f>'c-17'!F48</f>
        <v>65</v>
      </c>
      <c r="I364" s="64" t="s">
        <v>374</v>
      </c>
      <c r="J364" s="65">
        <f>'c-23'!F41</f>
        <v>281</v>
      </c>
      <c r="K364" s="26">
        <f>'c-24'!F36</f>
        <v>56</v>
      </c>
      <c r="L364" s="26">
        <f>'c-15'!F41</f>
        <v>240</v>
      </c>
      <c r="M364" s="117" t="s">
        <v>374</v>
      </c>
      <c r="N364" s="65">
        <f>'c-16'!F39</f>
        <v>231</v>
      </c>
      <c r="O364" s="65" t="s">
        <v>374</v>
      </c>
      <c r="P364" s="65" t="s">
        <v>374</v>
      </c>
    </row>
    <row r="365" spans="1:23" ht="15.75" customHeight="1">
      <c r="A365" s="120" t="s">
        <v>110</v>
      </c>
      <c r="B365" s="26">
        <f t="shared" si="18"/>
        <v>590</v>
      </c>
      <c r="C365" s="134">
        <f>'c-10'!E55</f>
        <v>7</v>
      </c>
      <c r="D365" s="24" t="s">
        <v>374</v>
      </c>
      <c r="E365" s="117" t="s">
        <v>374</v>
      </c>
      <c r="F365" s="117" t="s">
        <v>374</v>
      </c>
      <c r="G365" s="117" t="s">
        <v>374</v>
      </c>
      <c r="H365" s="65">
        <f>'c-17'!F49</f>
        <v>54</v>
      </c>
      <c r="I365" s="64" t="s">
        <v>374</v>
      </c>
      <c r="J365" s="65">
        <f>'c-23'!F42</f>
        <v>159</v>
      </c>
      <c r="K365" s="26">
        <f>'c-24'!F37</f>
        <v>60</v>
      </c>
      <c r="L365" s="26">
        <f>'c-15'!F42</f>
        <v>86</v>
      </c>
      <c r="M365" s="117" t="s">
        <v>374</v>
      </c>
      <c r="N365" s="65">
        <f>'c-16'!F40</f>
        <v>224</v>
      </c>
      <c r="O365" s="65" t="s">
        <v>374</v>
      </c>
      <c r="P365" s="65" t="s">
        <v>374</v>
      </c>
    </row>
    <row r="366" spans="1:23" ht="15.75" customHeight="1">
      <c r="A366" s="120" t="s">
        <v>111</v>
      </c>
      <c r="B366" s="26">
        <f t="shared" si="18"/>
        <v>1612</v>
      </c>
      <c r="C366" s="134">
        <f>'c-10'!E56</f>
        <v>16</v>
      </c>
      <c r="D366" s="24" t="s">
        <v>374</v>
      </c>
      <c r="E366" s="117" t="s">
        <v>374</v>
      </c>
      <c r="F366" s="117" t="s">
        <v>374</v>
      </c>
      <c r="G366" s="117" t="s">
        <v>374</v>
      </c>
      <c r="H366" s="65">
        <f>'c-17'!F50</f>
        <v>205</v>
      </c>
      <c r="I366" s="64" t="s">
        <v>374</v>
      </c>
      <c r="J366" s="65">
        <f>'c-23'!F43</f>
        <v>338</v>
      </c>
      <c r="K366" s="26">
        <f>'c-24'!F38</f>
        <v>329</v>
      </c>
      <c r="L366" s="26">
        <f>'c-15'!F43</f>
        <v>202</v>
      </c>
      <c r="M366" s="117" t="s">
        <v>374</v>
      </c>
      <c r="N366" s="65">
        <f>'c-16'!F41</f>
        <v>522</v>
      </c>
      <c r="O366" s="65" t="s">
        <v>374</v>
      </c>
      <c r="P366" s="65" t="s">
        <v>374</v>
      </c>
      <c r="V366" s="91"/>
      <c r="W366" s="91"/>
    </row>
    <row r="367" spans="1:23" ht="15.75" customHeight="1">
      <c r="A367" s="120" t="s">
        <v>112</v>
      </c>
      <c r="B367" s="26">
        <f t="shared" si="18"/>
        <v>1112</v>
      </c>
      <c r="C367" s="134">
        <f>'c-10'!E72</f>
        <v>79</v>
      </c>
      <c r="D367" s="24" t="s">
        <v>374</v>
      </c>
      <c r="E367" s="117" t="s">
        <v>374</v>
      </c>
      <c r="F367" s="117" t="s">
        <v>374</v>
      </c>
      <c r="G367" s="117" t="s">
        <v>374</v>
      </c>
      <c r="H367" s="65">
        <f>'c-17'!F67</f>
        <v>234</v>
      </c>
      <c r="I367" s="64" t="s">
        <v>374</v>
      </c>
      <c r="J367" s="65">
        <f>'c-23'!F55</f>
        <v>799</v>
      </c>
      <c r="K367" s="64" t="s">
        <v>374</v>
      </c>
      <c r="L367" s="64" t="s">
        <v>374</v>
      </c>
      <c r="M367" s="117" t="s">
        <v>374</v>
      </c>
      <c r="N367" s="118" t="s">
        <v>374</v>
      </c>
      <c r="O367" s="65" t="s">
        <v>374</v>
      </c>
      <c r="P367" s="65" t="s">
        <v>374</v>
      </c>
    </row>
    <row r="368" spans="1:23" ht="15.75" customHeight="1">
      <c r="A368" s="120" t="s">
        <v>113</v>
      </c>
      <c r="B368" s="26">
        <f t="shared" si="18"/>
        <v>2211</v>
      </c>
      <c r="C368" s="134">
        <f>'c-10'!E73</f>
        <v>57</v>
      </c>
      <c r="D368" s="24" t="s">
        <v>374</v>
      </c>
      <c r="E368" s="117" t="s">
        <v>374</v>
      </c>
      <c r="F368" s="117" t="s">
        <v>374</v>
      </c>
      <c r="G368" s="117" t="s">
        <v>374</v>
      </c>
      <c r="H368" s="65">
        <f>'c-17'!F68</f>
        <v>176</v>
      </c>
      <c r="I368" s="64" t="s">
        <v>374</v>
      </c>
      <c r="J368" s="65">
        <f>'c-23'!F56</f>
        <v>520</v>
      </c>
      <c r="K368" s="64" t="s">
        <v>374</v>
      </c>
      <c r="L368" s="26">
        <f>'c-15'!F57</f>
        <v>586</v>
      </c>
      <c r="M368" s="117" t="s">
        <v>374</v>
      </c>
      <c r="N368" s="65">
        <f>'c-16'!F57</f>
        <v>872</v>
      </c>
      <c r="O368" s="65" t="s">
        <v>374</v>
      </c>
      <c r="P368" s="65" t="s">
        <v>374</v>
      </c>
    </row>
    <row r="369" spans="1:16" ht="15.75" customHeight="1">
      <c r="A369" s="120" t="s">
        <v>114</v>
      </c>
      <c r="B369" s="26">
        <f t="shared" si="18"/>
        <v>369</v>
      </c>
      <c r="C369" s="134">
        <f>'c-10'!E74</f>
        <v>16</v>
      </c>
      <c r="D369" s="24" t="s">
        <v>374</v>
      </c>
      <c r="E369" s="117" t="s">
        <v>374</v>
      </c>
      <c r="F369" s="117" t="s">
        <v>374</v>
      </c>
      <c r="G369" s="117" t="s">
        <v>374</v>
      </c>
      <c r="H369" s="65">
        <f>'c-17'!F69</f>
        <v>13</v>
      </c>
      <c r="I369" s="64" t="s">
        <v>374</v>
      </c>
      <c r="J369" s="65">
        <f>'c-23'!F57</f>
        <v>87</v>
      </c>
      <c r="K369" s="26">
        <f>'c-24'!F47</f>
        <v>73</v>
      </c>
      <c r="L369" s="26">
        <f>'c-15'!F58</f>
        <v>60</v>
      </c>
      <c r="M369" s="117" t="s">
        <v>374</v>
      </c>
      <c r="N369" s="65">
        <f>'c-16'!F58</f>
        <v>120</v>
      </c>
      <c r="O369" s="65" t="s">
        <v>374</v>
      </c>
      <c r="P369" s="65" t="s">
        <v>374</v>
      </c>
    </row>
    <row r="370" spans="1:16" ht="15.75" customHeight="1">
      <c r="A370" s="120" t="s">
        <v>115</v>
      </c>
      <c r="B370" s="26">
        <f t="shared" si="18"/>
        <v>2343</v>
      </c>
      <c r="C370" s="134">
        <f>'c-10'!E75</f>
        <v>120</v>
      </c>
      <c r="D370" s="24" t="s">
        <v>374</v>
      </c>
      <c r="E370" s="117" t="s">
        <v>374</v>
      </c>
      <c r="F370" s="117" t="s">
        <v>374</v>
      </c>
      <c r="G370" s="117" t="s">
        <v>374</v>
      </c>
      <c r="H370" s="65">
        <f>'c-17'!F70</f>
        <v>287</v>
      </c>
      <c r="I370" s="64" t="s">
        <v>374</v>
      </c>
      <c r="J370" s="65">
        <f>'c-23'!F58</f>
        <v>726</v>
      </c>
      <c r="K370" s="26">
        <f>'c-24'!F48</f>
        <v>695</v>
      </c>
      <c r="L370" s="26">
        <f>'c-15'!F59</f>
        <v>515</v>
      </c>
      <c r="M370" s="117" t="s">
        <v>374</v>
      </c>
      <c r="N370" s="65" t="s">
        <v>374</v>
      </c>
      <c r="O370" s="65" t="s">
        <v>374</v>
      </c>
      <c r="P370" s="65" t="s">
        <v>374</v>
      </c>
    </row>
    <row r="371" spans="1:16" ht="15.75" customHeight="1">
      <c r="A371" s="120" t="s">
        <v>116</v>
      </c>
      <c r="B371" s="26">
        <f t="shared" si="18"/>
        <v>859</v>
      </c>
      <c r="C371" s="134">
        <f>'c-10'!E76</f>
        <v>27</v>
      </c>
      <c r="D371" s="24" t="s">
        <v>374</v>
      </c>
      <c r="E371" s="117" t="s">
        <v>374</v>
      </c>
      <c r="F371" s="117" t="s">
        <v>374</v>
      </c>
      <c r="G371" s="117" t="s">
        <v>374</v>
      </c>
      <c r="H371" s="65">
        <f>'c-17'!F71</f>
        <v>41</v>
      </c>
      <c r="I371" s="64" t="s">
        <v>374</v>
      </c>
      <c r="J371" s="65">
        <f>'c-23'!F59</f>
        <v>199</v>
      </c>
      <c r="K371" s="26">
        <f>'c-24'!F49</f>
        <v>75</v>
      </c>
      <c r="L371" s="26">
        <f>'c-15'!F60</f>
        <v>231</v>
      </c>
      <c r="M371" s="117" t="s">
        <v>374</v>
      </c>
      <c r="N371" s="65">
        <f>'c-16'!F59</f>
        <v>286</v>
      </c>
      <c r="O371" s="65" t="s">
        <v>374</v>
      </c>
      <c r="P371" s="65" t="s">
        <v>374</v>
      </c>
    </row>
    <row r="372" spans="1:16" ht="15.75" customHeight="1">
      <c r="A372" s="120" t="s">
        <v>117</v>
      </c>
      <c r="B372" s="26">
        <f t="shared" si="18"/>
        <v>2071</v>
      </c>
      <c r="C372" s="134">
        <f>'c-10'!E83</f>
        <v>56</v>
      </c>
      <c r="D372" s="24" t="s">
        <v>374</v>
      </c>
      <c r="E372" s="117" t="s">
        <v>374</v>
      </c>
      <c r="F372" s="117" t="s">
        <v>374</v>
      </c>
      <c r="G372" s="117" t="s">
        <v>374</v>
      </c>
      <c r="H372" s="65">
        <f>'c-17'!F77</f>
        <v>2</v>
      </c>
      <c r="I372" s="64" t="s">
        <v>374</v>
      </c>
      <c r="J372" s="65">
        <f>'c-23'!F64</f>
        <v>223</v>
      </c>
      <c r="K372" s="26">
        <f>'c-24'!F54</f>
        <v>1264</v>
      </c>
      <c r="L372" s="26">
        <f>'c-15'!F69</f>
        <v>172</v>
      </c>
      <c r="M372" s="117" t="s">
        <v>374</v>
      </c>
      <c r="N372" s="65">
        <f>'c-16'!F64</f>
        <v>354</v>
      </c>
      <c r="O372" s="65" t="s">
        <v>374</v>
      </c>
      <c r="P372" s="65" t="s">
        <v>374</v>
      </c>
    </row>
    <row r="373" spans="1:16" ht="15.75" customHeight="1">
      <c r="A373" s="120" t="s">
        <v>118</v>
      </c>
      <c r="B373" s="26">
        <f t="shared" si="18"/>
        <v>3244</v>
      </c>
      <c r="C373" s="134">
        <f>'c-10'!E84</f>
        <v>220</v>
      </c>
      <c r="D373" s="24" t="s">
        <v>374</v>
      </c>
      <c r="E373" s="117" t="s">
        <v>374</v>
      </c>
      <c r="F373" s="117" t="s">
        <v>374</v>
      </c>
      <c r="G373" s="117" t="s">
        <v>374</v>
      </c>
      <c r="H373" s="65" t="s">
        <v>374</v>
      </c>
      <c r="I373" s="64" t="s">
        <v>374</v>
      </c>
      <c r="J373" s="65">
        <f>'c-23'!F65</f>
        <v>722</v>
      </c>
      <c r="K373" s="26">
        <f>'c-24'!F55</f>
        <v>1190</v>
      </c>
      <c r="L373" s="26">
        <f>'c-15'!F65</f>
        <v>350</v>
      </c>
      <c r="M373" s="117" t="s">
        <v>374</v>
      </c>
      <c r="N373" s="65">
        <f>'c-16'!F65</f>
        <v>762</v>
      </c>
      <c r="O373" s="65" t="s">
        <v>374</v>
      </c>
      <c r="P373" s="65" t="s">
        <v>374</v>
      </c>
    </row>
    <row r="374" spans="1:16" ht="15.75" customHeight="1">
      <c r="A374" s="120" t="s">
        <v>119</v>
      </c>
      <c r="B374" s="26">
        <f t="shared" si="18"/>
        <v>803</v>
      </c>
      <c r="C374" s="134">
        <f>'c-10'!E85</f>
        <v>49</v>
      </c>
      <c r="D374" s="24" t="s">
        <v>374</v>
      </c>
      <c r="E374" s="117" t="s">
        <v>374</v>
      </c>
      <c r="F374" s="117" t="s">
        <v>374</v>
      </c>
      <c r="G374" s="117" t="s">
        <v>374</v>
      </c>
      <c r="H374" s="65">
        <f>'c-17'!F78</f>
        <v>1</v>
      </c>
      <c r="I374" s="64" t="s">
        <v>374</v>
      </c>
      <c r="J374" s="65">
        <f>'c-23'!F66</f>
        <v>146</v>
      </c>
      <c r="K374" s="26">
        <f>'c-24'!F56</f>
        <v>258</v>
      </c>
      <c r="L374" s="26">
        <f>'c-15'!F66</f>
        <v>110</v>
      </c>
      <c r="M374" s="117" t="s">
        <v>374</v>
      </c>
      <c r="N374" s="65">
        <f>'c-16'!F66</f>
        <v>239</v>
      </c>
      <c r="O374" s="65" t="s">
        <v>374</v>
      </c>
      <c r="P374" s="65" t="s">
        <v>374</v>
      </c>
    </row>
    <row r="375" spans="1:16" ht="15.75" customHeight="1">
      <c r="A375" s="120" t="s">
        <v>120</v>
      </c>
      <c r="B375" s="26">
        <f t="shared" si="18"/>
        <v>796</v>
      </c>
      <c r="C375" s="134">
        <f>'c-10'!E86</f>
        <v>211</v>
      </c>
      <c r="D375" s="24" t="s">
        <v>374</v>
      </c>
      <c r="E375" s="117" t="s">
        <v>374</v>
      </c>
      <c r="F375" s="117" t="s">
        <v>374</v>
      </c>
      <c r="G375" s="117" t="s">
        <v>374</v>
      </c>
      <c r="H375" s="65">
        <f>'c-17'!F79</f>
        <v>102</v>
      </c>
      <c r="I375" s="64" t="s">
        <v>374</v>
      </c>
      <c r="J375" s="65">
        <f>'c-23'!F67</f>
        <v>483</v>
      </c>
      <c r="K375" s="64" t="s">
        <v>374</v>
      </c>
      <c r="L375" s="117" t="s">
        <v>374</v>
      </c>
      <c r="M375" s="117" t="s">
        <v>374</v>
      </c>
      <c r="N375" s="117" t="s">
        <v>374</v>
      </c>
      <c r="O375" s="65" t="s">
        <v>374</v>
      </c>
      <c r="P375" s="65" t="s">
        <v>374</v>
      </c>
    </row>
    <row r="376" spans="1:16" ht="15.75" customHeight="1">
      <c r="A376" s="120" t="s">
        <v>624</v>
      </c>
      <c r="B376" s="26">
        <f t="shared" si="18"/>
        <v>1456</v>
      </c>
      <c r="C376" s="134">
        <f>'c-10'!E87</f>
        <v>45</v>
      </c>
      <c r="D376" s="24" t="s">
        <v>374</v>
      </c>
      <c r="E376" s="117" t="s">
        <v>374</v>
      </c>
      <c r="F376" s="117" t="s">
        <v>374</v>
      </c>
      <c r="G376" s="117" t="s">
        <v>374</v>
      </c>
      <c r="H376" s="65">
        <f>'c-17'!F80</f>
        <v>223</v>
      </c>
      <c r="I376" s="64" t="s">
        <v>374</v>
      </c>
      <c r="J376" s="65">
        <f>'c-23'!F68</f>
        <v>560</v>
      </c>
      <c r="K376" s="26">
        <f>'c-24'!F57</f>
        <v>628</v>
      </c>
      <c r="L376" s="26" t="s">
        <v>374</v>
      </c>
      <c r="M376" s="117" t="s">
        <v>374</v>
      </c>
      <c r="N376" s="65" t="s">
        <v>374</v>
      </c>
      <c r="O376" s="65" t="s">
        <v>374</v>
      </c>
      <c r="P376" s="65" t="s">
        <v>374</v>
      </c>
    </row>
    <row r="377" spans="1:16" ht="15.75" customHeight="1">
      <c r="A377" s="120" t="s">
        <v>625</v>
      </c>
      <c r="B377" s="26">
        <f t="shared" si="18"/>
        <v>1194</v>
      </c>
      <c r="C377" s="134">
        <f>'c-10'!E93</f>
        <v>79</v>
      </c>
      <c r="D377" s="24" t="s">
        <v>374</v>
      </c>
      <c r="E377" s="117" t="s">
        <v>374</v>
      </c>
      <c r="F377" s="117" t="s">
        <v>374</v>
      </c>
      <c r="G377" s="117" t="s">
        <v>374</v>
      </c>
      <c r="H377" s="65">
        <f>'c-17'!F87</f>
        <v>114</v>
      </c>
      <c r="I377" s="64" t="s">
        <v>374</v>
      </c>
      <c r="J377" s="65">
        <f>'c-23'!F72</f>
        <v>393</v>
      </c>
      <c r="K377" s="26">
        <f>'c-24'!F61</f>
        <v>204</v>
      </c>
      <c r="L377" s="26">
        <f>'c-15'!F73</f>
        <v>175</v>
      </c>
      <c r="M377" s="117" t="s">
        <v>374</v>
      </c>
      <c r="N377" s="65">
        <f>'c-16'!F72</f>
        <v>229</v>
      </c>
      <c r="O377" s="65" t="s">
        <v>374</v>
      </c>
      <c r="P377" s="65" t="s">
        <v>374</v>
      </c>
    </row>
    <row r="378" spans="1:16" ht="15.75" customHeight="1">
      <c r="A378" s="120" t="s">
        <v>626</v>
      </c>
      <c r="B378" s="26">
        <f t="shared" si="18"/>
        <v>933</v>
      </c>
      <c r="C378" s="134">
        <f>'c-10'!E94</f>
        <v>12</v>
      </c>
      <c r="D378" s="24" t="s">
        <v>374</v>
      </c>
      <c r="E378" s="117" t="s">
        <v>374</v>
      </c>
      <c r="F378" s="117" t="s">
        <v>374</v>
      </c>
      <c r="G378" s="117" t="s">
        <v>374</v>
      </c>
      <c r="H378" s="65">
        <f>'c-17'!F88</f>
        <v>31</v>
      </c>
      <c r="I378" s="64" t="s">
        <v>374</v>
      </c>
      <c r="J378" s="65">
        <f>'c-23'!F73</f>
        <v>359</v>
      </c>
      <c r="K378" s="26">
        <f>'c-24'!F62</f>
        <v>111</v>
      </c>
      <c r="L378" s="26">
        <f>'c-15'!F74</f>
        <v>73</v>
      </c>
      <c r="M378" s="117" t="s">
        <v>374</v>
      </c>
      <c r="N378" s="65">
        <f>'c-16'!F73</f>
        <v>347</v>
      </c>
      <c r="O378" s="65" t="s">
        <v>374</v>
      </c>
      <c r="P378" s="65" t="s">
        <v>374</v>
      </c>
    </row>
    <row r="379" spans="1:16" ht="15.75" customHeight="1">
      <c r="A379" s="120" t="s">
        <v>627</v>
      </c>
      <c r="B379" s="26">
        <f t="shared" si="18"/>
        <v>1239</v>
      </c>
      <c r="C379" s="134">
        <f>'c-10'!E95</f>
        <v>105</v>
      </c>
      <c r="D379" s="24" t="s">
        <v>374</v>
      </c>
      <c r="E379" s="117" t="s">
        <v>374</v>
      </c>
      <c r="F379" s="117" t="s">
        <v>374</v>
      </c>
      <c r="G379" s="117" t="s">
        <v>374</v>
      </c>
      <c r="H379" s="65">
        <f>'c-17'!F89</f>
        <v>157</v>
      </c>
      <c r="I379" s="64" t="s">
        <v>374</v>
      </c>
      <c r="J379" s="65">
        <f>'c-23'!F74</f>
        <v>314</v>
      </c>
      <c r="K379" s="26">
        <f>'c-24'!F63</f>
        <v>271</v>
      </c>
      <c r="L379" s="26">
        <f>'c-15'!F75</f>
        <v>392</v>
      </c>
      <c r="M379" s="117" t="s">
        <v>374</v>
      </c>
      <c r="N379" s="118" t="s">
        <v>374</v>
      </c>
      <c r="O379" s="65" t="s">
        <v>374</v>
      </c>
      <c r="P379" s="65" t="s">
        <v>374</v>
      </c>
    </row>
    <row r="380" spans="1:16" ht="15.75" customHeight="1">
      <c r="A380" s="120" t="s">
        <v>628</v>
      </c>
      <c r="B380" s="26">
        <f t="shared" si="18"/>
        <v>794</v>
      </c>
      <c r="C380" s="134">
        <f>'c-10'!E96</f>
        <v>28</v>
      </c>
      <c r="D380" s="24" t="s">
        <v>374</v>
      </c>
      <c r="E380" s="117" t="s">
        <v>374</v>
      </c>
      <c r="F380" s="117" t="s">
        <v>374</v>
      </c>
      <c r="G380" s="117" t="s">
        <v>374</v>
      </c>
      <c r="H380" s="65">
        <f>'c-17'!F90</f>
        <v>66</v>
      </c>
      <c r="I380" s="64" t="s">
        <v>374</v>
      </c>
      <c r="J380" s="65">
        <f>'c-23'!F75</f>
        <v>171</v>
      </c>
      <c r="K380" s="26">
        <f>'c-24'!F64</f>
        <v>114</v>
      </c>
      <c r="L380" s="26">
        <f>'c-15'!F76</f>
        <v>147</v>
      </c>
      <c r="M380" s="117" t="s">
        <v>374</v>
      </c>
      <c r="N380" s="65">
        <f>'c-16'!F74</f>
        <v>268</v>
      </c>
      <c r="O380" s="65" t="s">
        <v>374</v>
      </c>
      <c r="P380" s="65" t="s">
        <v>374</v>
      </c>
    </row>
    <row r="381" spans="1:16" ht="15.75" customHeight="1">
      <c r="A381" s="120" t="s">
        <v>629</v>
      </c>
      <c r="B381" s="26">
        <f t="shared" si="18"/>
        <v>749</v>
      </c>
      <c r="C381" s="134">
        <f>'c-10'!E97</f>
        <v>24</v>
      </c>
      <c r="D381" s="24" t="s">
        <v>374</v>
      </c>
      <c r="E381" s="117" t="s">
        <v>374</v>
      </c>
      <c r="F381" s="117" t="s">
        <v>374</v>
      </c>
      <c r="G381" s="117" t="s">
        <v>374</v>
      </c>
      <c r="H381" s="65">
        <f>'c-17'!F91</f>
        <v>38</v>
      </c>
      <c r="I381" s="64" t="s">
        <v>374</v>
      </c>
      <c r="J381" s="65">
        <f>'c-23'!F76</f>
        <v>165</v>
      </c>
      <c r="K381" s="26">
        <f>'c-24'!F65</f>
        <v>221</v>
      </c>
      <c r="L381" s="26">
        <f>'c-15'!F77</f>
        <v>76</v>
      </c>
      <c r="M381" s="117" t="s">
        <v>374</v>
      </c>
      <c r="N381" s="65">
        <f>'c-16'!F75</f>
        <v>225</v>
      </c>
      <c r="O381" s="65" t="s">
        <v>374</v>
      </c>
      <c r="P381" s="65" t="s">
        <v>374</v>
      </c>
    </row>
    <row r="382" spans="1:16" ht="15.75" customHeight="1">
      <c r="A382" s="120" t="s">
        <v>630</v>
      </c>
      <c r="B382" s="26">
        <f t="shared" si="18"/>
        <v>463</v>
      </c>
      <c r="C382" s="134">
        <f>'c-10'!E103</f>
        <v>9</v>
      </c>
      <c r="D382" s="24" t="s">
        <v>374</v>
      </c>
      <c r="E382" s="117" t="s">
        <v>374</v>
      </c>
      <c r="F382" s="117" t="s">
        <v>374</v>
      </c>
      <c r="G382" s="117" t="s">
        <v>374</v>
      </c>
      <c r="H382" s="65">
        <f>'c-17'!F98</f>
        <v>18</v>
      </c>
      <c r="I382" s="64" t="s">
        <v>374</v>
      </c>
      <c r="J382" s="65">
        <f>'c-23'!F81</f>
        <v>150</v>
      </c>
      <c r="K382" s="26">
        <f>'c-24'!F70</f>
        <v>36</v>
      </c>
      <c r="L382" s="26">
        <f>'c-15'!F81</f>
        <v>144</v>
      </c>
      <c r="M382" s="117" t="s">
        <v>374</v>
      </c>
      <c r="N382" s="65">
        <f>'c-16'!F80</f>
        <v>106</v>
      </c>
      <c r="O382" s="65" t="s">
        <v>374</v>
      </c>
      <c r="P382" s="65" t="s">
        <v>374</v>
      </c>
    </row>
    <row r="383" spans="1:16" ht="15.75" customHeight="1">
      <c r="A383" s="120" t="s">
        <v>631</v>
      </c>
      <c r="B383" s="26">
        <f t="shared" si="18"/>
        <v>1988</v>
      </c>
      <c r="C383" s="134">
        <f>'c-10'!E104</f>
        <v>87</v>
      </c>
      <c r="D383" s="24" t="s">
        <v>374</v>
      </c>
      <c r="E383" s="117" t="s">
        <v>374</v>
      </c>
      <c r="F383" s="117" t="s">
        <v>374</v>
      </c>
      <c r="G383" s="117" t="s">
        <v>374</v>
      </c>
      <c r="H383" s="65">
        <f>'c-17'!F99</f>
        <v>162</v>
      </c>
      <c r="I383" s="64" t="s">
        <v>374</v>
      </c>
      <c r="J383" s="65">
        <f>'c-23'!F82</f>
        <v>449</v>
      </c>
      <c r="K383" s="26">
        <f>'c-24'!F71</f>
        <v>294</v>
      </c>
      <c r="L383" s="26">
        <f>'c-15'!F83</f>
        <v>302</v>
      </c>
      <c r="M383" s="117" t="s">
        <v>374</v>
      </c>
      <c r="N383" s="65">
        <f>'c-16'!F81</f>
        <v>694</v>
      </c>
      <c r="O383" s="65" t="s">
        <v>374</v>
      </c>
      <c r="P383" s="65" t="s">
        <v>374</v>
      </c>
    </row>
    <row r="384" spans="1:16" ht="15.75" customHeight="1">
      <c r="A384" s="120" t="s">
        <v>632</v>
      </c>
      <c r="B384" s="26">
        <f t="shared" si="18"/>
        <v>173</v>
      </c>
      <c r="C384" s="134">
        <f>'c-10'!E105</f>
        <v>3</v>
      </c>
      <c r="D384" s="24" t="s">
        <v>374</v>
      </c>
      <c r="E384" s="117" t="s">
        <v>374</v>
      </c>
      <c r="F384" s="117" t="s">
        <v>374</v>
      </c>
      <c r="G384" s="117" t="s">
        <v>374</v>
      </c>
      <c r="H384" s="65">
        <f>'c-17'!F100</f>
        <v>5</v>
      </c>
      <c r="I384" s="64" t="s">
        <v>374</v>
      </c>
      <c r="J384" s="65">
        <f>'c-23'!F83</f>
        <v>50</v>
      </c>
      <c r="K384" s="26">
        <f>'c-24'!F72</f>
        <v>30</v>
      </c>
      <c r="L384" s="26">
        <f>'c-15'!F84</f>
        <v>40</v>
      </c>
      <c r="M384" s="117" t="s">
        <v>374</v>
      </c>
      <c r="N384" s="65">
        <f>'c-16'!F82</f>
        <v>45</v>
      </c>
      <c r="O384" s="65" t="s">
        <v>374</v>
      </c>
      <c r="P384" s="65" t="s">
        <v>374</v>
      </c>
    </row>
    <row r="385" spans="1:24" ht="15.75" customHeight="1">
      <c r="A385" s="120" t="s">
        <v>633</v>
      </c>
      <c r="B385" s="26">
        <f t="shared" si="18"/>
        <v>1002</v>
      </c>
      <c r="C385" s="134">
        <f>'c-10'!E112</f>
        <v>23</v>
      </c>
      <c r="D385" s="24" t="s">
        <v>374</v>
      </c>
      <c r="E385" s="117" t="s">
        <v>374</v>
      </c>
      <c r="F385" s="117" t="s">
        <v>374</v>
      </c>
      <c r="G385" s="117" t="s">
        <v>374</v>
      </c>
      <c r="H385" s="65" t="s">
        <v>374</v>
      </c>
      <c r="I385" s="64" t="s">
        <v>374</v>
      </c>
      <c r="J385" s="65">
        <f>'c-23'!F88</f>
        <v>282</v>
      </c>
      <c r="K385" s="64" t="s">
        <v>374</v>
      </c>
      <c r="L385" s="26">
        <f>'c-15'!F89</f>
        <v>256</v>
      </c>
      <c r="M385" s="117" t="s">
        <v>374</v>
      </c>
      <c r="N385" s="65">
        <f>'c-16'!F89</f>
        <v>441</v>
      </c>
      <c r="O385" s="65" t="s">
        <v>374</v>
      </c>
      <c r="P385" s="65" t="s">
        <v>374</v>
      </c>
    </row>
    <row r="386" spans="1:24" ht="15.75" customHeight="1">
      <c r="A386" s="120" t="s">
        <v>634</v>
      </c>
      <c r="B386" s="26">
        <f t="shared" si="18"/>
        <v>428</v>
      </c>
      <c r="C386" s="134">
        <f>'c-10'!E113</f>
        <v>17</v>
      </c>
      <c r="D386" s="24" t="s">
        <v>374</v>
      </c>
      <c r="E386" s="117" t="s">
        <v>374</v>
      </c>
      <c r="F386" s="117" t="s">
        <v>374</v>
      </c>
      <c r="G386" s="117" t="s">
        <v>374</v>
      </c>
      <c r="H386" s="65" t="s">
        <v>374</v>
      </c>
      <c r="I386" s="64" t="s">
        <v>374</v>
      </c>
      <c r="J386" s="65">
        <f>'c-23'!F89</f>
        <v>88</v>
      </c>
      <c r="K386" s="64" t="s">
        <v>374</v>
      </c>
      <c r="L386" s="26">
        <f>'c-15'!F90</f>
        <v>179</v>
      </c>
      <c r="M386" s="117" t="s">
        <v>374</v>
      </c>
      <c r="N386" s="65">
        <f>'c-16'!F90</f>
        <v>144</v>
      </c>
      <c r="O386" s="65" t="s">
        <v>374</v>
      </c>
      <c r="P386" s="65" t="s">
        <v>374</v>
      </c>
    </row>
    <row r="387" spans="1:24" ht="15.75" customHeight="1">
      <c r="A387" s="120" t="s">
        <v>635</v>
      </c>
      <c r="B387" s="26">
        <f t="shared" si="18"/>
        <v>1693</v>
      </c>
      <c r="C387" s="134">
        <f>'c-10'!E114</f>
        <v>81</v>
      </c>
      <c r="D387" s="24" t="s">
        <v>374</v>
      </c>
      <c r="E387" s="117" t="s">
        <v>374</v>
      </c>
      <c r="F387" s="117" t="s">
        <v>374</v>
      </c>
      <c r="G387" s="117" t="s">
        <v>374</v>
      </c>
      <c r="H387" s="65">
        <f>'c-17'!F109</f>
        <v>135</v>
      </c>
      <c r="I387" s="64" t="s">
        <v>374</v>
      </c>
      <c r="J387" s="65">
        <f>'c-23'!F90</f>
        <v>448</v>
      </c>
      <c r="K387" s="26">
        <f>'c-24'!F77</f>
        <v>542</v>
      </c>
      <c r="L387" s="26">
        <f>'c-15'!F91</f>
        <v>146</v>
      </c>
      <c r="M387" s="117" t="s">
        <v>374</v>
      </c>
      <c r="N387" s="65">
        <f>'c-16'!F91</f>
        <v>341</v>
      </c>
      <c r="O387" s="65" t="s">
        <v>374</v>
      </c>
      <c r="P387" s="65" t="s">
        <v>374</v>
      </c>
    </row>
    <row r="388" spans="1:24" ht="15.75" customHeight="1">
      <c r="A388" s="120" t="s">
        <v>636</v>
      </c>
      <c r="B388" s="26">
        <f t="shared" si="18"/>
        <v>465</v>
      </c>
      <c r="C388" s="134">
        <f>'c-10'!E106</f>
        <v>25</v>
      </c>
      <c r="D388" s="24" t="s">
        <v>374</v>
      </c>
      <c r="E388" s="117" t="s">
        <v>374</v>
      </c>
      <c r="F388" s="117" t="s">
        <v>374</v>
      </c>
      <c r="G388" s="117" t="s">
        <v>374</v>
      </c>
      <c r="H388" s="65">
        <f>'c-17'!F101</f>
        <v>45</v>
      </c>
      <c r="I388" s="64" t="s">
        <v>374</v>
      </c>
      <c r="J388" s="65">
        <f>'c-23'!F84</f>
        <v>156</v>
      </c>
      <c r="K388" s="26">
        <f>'c-24'!F73</f>
        <v>35</v>
      </c>
      <c r="L388" s="26">
        <f>'c-15'!F85</f>
        <v>59</v>
      </c>
      <c r="M388" s="117" t="s">
        <v>374</v>
      </c>
      <c r="N388" s="65">
        <f>'c-16'!F83</f>
        <v>145</v>
      </c>
      <c r="O388" s="65" t="s">
        <v>374</v>
      </c>
      <c r="P388" s="65" t="s">
        <v>374</v>
      </c>
    </row>
    <row r="389" spans="1:24" ht="15.75" customHeight="1">
      <c r="A389" s="120" t="s">
        <v>637</v>
      </c>
      <c r="B389" s="26">
        <f t="shared" si="18"/>
        <v>924</v>
      </c>
      <c r="C389" s="134">
        <f>'c-10'!E117</f>
        <v>29</v>
      </c>
      <c r="D389" s="24" t="s">
        <v>374</v>
      </c>
      <c r="E389" s="117" t="s">
        <v>374</v>
      </c>
      <c r="F389" s="117" t="s">
        <v>374</v>
      </c>
      <c r="G389" s="117" t="s">
        <v>374</v>
      </c>
      <c r="H389" s="65">
        <f>'c-17'!F110</f>
        <v>123</v>
      </c>
      <c r="I389" s="64" t="s">
        <v>374</v>
      </c>
      <c r="J389" s="65">
        <f>'c-23'!F93</f>
        <v>267</v>
      </c>
      <c r="K389" s="26">
        <f>'c-24'!F78</f>
        <v>142</v>
      </c>
      <c r="L389" s="26">
        <f>'c-15'!F92</f>
        <v>131</v>
      </c>
      <c r="M389" s="117" t="s">
        <v>374</v>
      </c>
      <c r="N389" s="65">
        <f>'c-16'!F92</f>
        <v>232</v>
      </c>
      <c r="O389" s="65" t="s">
        <v>374</v>
      </c>
      <c r="P389" s="65" t="s">
        <v>374</v>
      </c>
    </row>
    <row r="390" spans="1:24" ht="15.75" customHeight="1">
      <c r="A390" s="120" t="s">
        <v>885</v>
      </c>
      <c r="B390" s="26">
        <f>SUM(C390:P390)</f>
        <v>201</v>
      </c>
      <c r="C390" s="134">
        <f>'c-10'!E118</f>
        <v>4</v>
      </c>
      <c r="D390" s="24" t="s">
        <v>374</v>
      </c>
      <c r="E390" s="117" t="s">
        <v>374</v>
      </c>
      <c r="F390" s="117" t="s">
        <v>374</v>
      </c>
      <c r="G390" s="117" t="s">
        <v>374</v>
      </c>
      <c r="H390" s="65">
        <f>'c-17'!F113</f>
        <v>16</v>
      </c>
      <c r="I390" s="64" t="s">
        <v>374</v>
      </c>
      <c r="J390" s="65">
        <f>'c-23'!F94</f>
        <v>47</v>
      </c>
      <c r="K390" s="26">
        <f>'c-24'!F81</f>
        <v>20</v>
      </c>
      <c r="L390" s="26">
        <f>'c-15'!F95</f>
        <v>27</v>
      </c>
      <c r="M390" s="117" t="s">
        <v>374</v>
      </c>
      <c r="N390" s="65">
        <f>'c-16'!F93</f>
        <v>87</v>
      </c>
      <c r="O390" s="65" t="s">
        <v>374</v>
      </c>
      <c r="P390" s="65" t="s">
        <v>374</v>
      </c>
    </row>
    <row r="391" spans="1:24" ht="15.75" customHeight="1">
      <c r="A391" s="120" t="s">
        <v>638</v>
      </c>
      <c r="B391" s="26">
        <f t="shared" si="18"/>
        <v>1757</v>
      </c>
      <c r="C391" s="134">
        <f>'c-10'!E115</f>
        <v>115</v>
      </c>
      <c r="D391" s="24" t="s">
        <v>374</v>
      </c>
      <c r="E391" s="117" t="s">
        <v>374</v>
      </c>
      <c r="F391" s="117" t="s">
        <v>374</v>
      </c>
      <c r="G391" s="117" t="s">
        <v>374</v>
      </c>
      <c r="H391" s="65">
        <f>'c-17'!F111</f>
        <v>268</v>
      </c>
      <c r="I391" s="64" t="s">
        <v>374</v>
      </c>
      <c r="J391" s="65">
        <f>'c-23'!F91</f>
        <v>466</v>
      </c>
      <c r="K391" s="26">
        <f>'c-24'!F79</f>
        <v>475</v>
      </c>
      <c r="L391" s="26">
        <f>'c-15'!F93</f>
        <v>433</v>
      </c>
      <c r="M391" s="117" t="s">
        <v>374</v>
      </c>
      <c r="N391" s="118" t="s">
        <v>374</v>
      </c>
      <c r="O391" s="65" t="s">
        <v>374</v>
      </c>
      <c r="P391" s="65" t="s">
        <v>374</v>
      </c>
    </row>
    <row r="392" spans="1:24" ht="15.75" customHeight="1">
      <c r="A392" s="120" t="s">
        <v>639</v>
      </c>
      <c r="B392" s="26">
        <f t="shared" si="18"/>
        <v>1288</v>
      </c>
      <c r="C392" s="134">
        <f>'c-10'!E116</f>
        <v>9</v>
      </c>
      <c r="D392" s="24" t="s">
        <v>374</v>
      </c>
      <c r="E392" s="117" t="s">
        <v>374</v>
      </c>
      <c r="F392" s="117" t="s">
        <v>374</v>
      </c>
      <c r="G392" s="117" t="s">
        <v>374</v>
      </c>
      <c r="H392" s="65">
        <f>'c-17'!F112</f>
        <v>27</v>
      </c>
      <c r="I392" s="64"/>
      <c r="J392" s="65">
        <f>'c-23'!F92</f>
        <v>376</v>
      </c>
      <c r="K392" s="26">
        <f>'c-24'!F80</f>
        <v>267</v>
      </c>
      <c r="L392" s="26">
        <f>'c-15'!F94</f>
        <v>155</v>
      </c>
      <c r="M392" s="117" t="s">
        <v>374</v>
      </c>
      <c r="N392" s="118">
        <f>'c-16'!F88</f>
        <v>454</v>
      </c>
      <c r="O392" s="65"/>
      <c r="P392" s="65"/>
    </row>
    <row r="393" spans="1:24" ht="15.75" customHeight="1">
      <c r="A393" s="120" t="s">
        <v>640</v>
      </c>
      <c r="B393" s="26">
        <f t="shared" si="18"/>
        <v>2327</v>
      </c>
      <c r="C393" s="134">
        <f>'c-10'!E130</f>
        <v>107</v>
      </c>
      <c r="D393" s="24">
        <f>'c-11'!E49</f>
        <v>568</v>
      </c>
      <c r="E393" s="117" t="s">
        <v>374</v>
      </c>
      <c r="F393" s="117" t="s">
        <v>374</v>
      </c>
      <c r="G393" s="117" t="s">
        <v>374</v>
      </c>
      <c r="H393" s="65">
        <f>'c-17'!F125</f>
        <v>143</v>
      </c>
      <c r="I393" s="64" t="s">
        <v>374</v>
      </c>
      <c r="J393" s="65">
        <f>'c-23'!F102</f>
        <v>683</v>
      </c>
      <c r="K393" s="26">
        <f>'c-24'!F89</f>
        <v>237</v>
      </c>
      <c r="L393" s="26">
        <f>'c-15'!F102</f>
        <v>589</v>
      </c>
      <c r="M393" s="117" t="s">
        <v>374</v>
      </c>
      <c r="N393" s="118" t="s">
        <v>374</v>
      </c>
      <c r="O393" s="65" t="s">
        <v>374</v>
      </c>
      <c r="P393" s="65" t="s">
        <v>374</v>
      </c>
    </row>
    <row r="394" spans="1:24" ht="15.75" customHeight="1">
      <c r="A394" s="120" t="s">
        <v>641</v>
      </c>
      <c r="B394" s="26">
        <f t="shared" si="18"/>
        <v>1139</v>
      </c>
      <c r="C394" s="134">
        <f>'c-10'!E131</f>
        <v>32</v>
      </c>
      <c r="D394" s="24" t="s">
        <v>374</v>
      </c>
      <c r="E394" s="117" t="s">
        <v>374</v>
      </c>
      <c r="F394" s="117" t="s">
        <v>374</v>
      </c>
      <c r="G394" s="117" t="s">
        <v>374</v>
      </c>
      <c r="H394" s="65">
        <f>'c-17'!F126</f>
        <v>97</v>
      </c>
      <c r="I394" s="64" t="s">
        <v>374</v>
      </c>
      <c r="J394" s="65">
        <f>'c-23'!F103</f>
        <v>368</v>
      </c>
      <c r="K394" s="26">
        <f>'c-24'!F90</f>
        <v>383</v>
      </c>
      <c r="L394" s="26">
        <f>'c-15'!F103</f>
        <v>259</v>
      </c>
      <c r="M394" s="117" t="s">
        <v>374</v>
      </c>
      <c r="N394" s="118" t="s">
        <v>374</v>
      </c>
      <c r="O394" s="65" t="s">
        <v>374</v>
      </c>
      <c r="P394" s="65" t="s">
        <v>374</v>
      </c>
    </row>
    <row r="395" spans="1:24" ht="15.75" customHeight="1">
      <c r="A395" s="120" t="s">
        <v>494</v>
      </c>
      <c r="B395" s="26">
        <f t="shared" si="18"/>
        <v>1929</v>
      </c>
      <c r="C395" s="134">
        <f>'c-10'!E132</f>
        <v>97</v>
      </c>
      <c r="D395" s="24" t="s">
        <v>374</v>
      </c>
      <c r="E395" s="117" t="s">
        <v>374</v>
      </c>
      <c r="F395" s="117" t="s">
        <v>374</v>
      </c>
      <c r="G395" s="117" t="s">
        <v>374</v>
      </c>
      <c r="H395" s="65">
        <f>'c-17'!F127</f>
        <v>148</v>
      </c>
      <c r="I395" s="64" t="s">
        <v>374</v>
      </c>
      <c r="J395" s="65">
        <f>'c-23'!F101</f>
        <v>537</v>
      </c>
      <c r="K395" s="26">
        <f>'c-24'!F88</f>
        <v>380</v>
      </c>
      <c r="L395" s="26">
        <f>'c-15'!F104</f>
        <v>767</v>
      </c>
      <c r="M395" s="117" t="s">
        <v>374</v>
      </c>
      <c r="N395" s="118" t="s">
        <v>374</v>
      </c>
      <c r="O395" s="65" t="s">
        <v>374</v>
      </c>
      <c r="P395" s="65" t="s">
        <v>374</v>
      </c>
    </row>
    <row r="396" spans="1:24" ht="15.75" customHeight="1">
      <c r="A396" s="120" t="s">
        <v>642</v>
      </c>
      <c r="B396" s="26">
        <f t="shared" si="18"/>
        <v>940</v>
      </c>
      <c r="C396" s="134">
        <f>'c-10'!E124</f>
        <v>23</v>
      </c>
      <c r="D396" s="24" t="s">
        <v>374</v>
      </c>
      <c r="E396" s="117" t="s">
        <v>374</v>
      </c>
      <c r="F396" s="117" t="s">
        <v>374</v>
      </c>
      <c r="G396" s="117" t="s">
        <v>374</v>
      </c>
      <c r="H396" s="65">
        <f>'c-17'!F119</f>
        <v>54</v>
      </c>
      <c r="I396" s="64" t="s">
        <v>374</v>
      </c>
      <c r="J396" s="65">
        <f>'c-23'!F98</f>
        <v>429</v>
      </c>
      <c r="K396" s="26">
        <f>'c-24'!F85</f>
        <v>187</v>
      </c>
      <c r="L396" s="26">
        <f>'c-15'!F99</f>
        <v>247</v>
      </c>
      <c r="M396" s="117" t="s">
        <v>374</v>
      </c>
      <c r="N396" s="118" t="s">
        <v>374</v>
      </c>
      <c r="O396" s="65" t="s">
        <v>374</v>
      </c>
      <c r="P396" s="65" t="s">
        <v>374</v>
      </c>
    </row>
    <row r="397" spans="1:24" ht="15.75" customHeight="1">
      <c r="A397" s="120" t="s">
        <v>643</v>
      </c>
      <c r="B397" s="26">
        <f t="shared" si="18"/>
        <v>1614</v>
      </c>
      <c r="C397" s="134">
        <f>'c-10'!E133</f>
        <v>33</v>
      </c>
      <c r="D397" s="24" t="s">
        <v>374</v>
      </c>
      <c r="E397" s="117" t="s">
        <v>374</v>
      </c>
      <c r="F397" s="117" t="s">
        <v>374</v>
      </c>
      <c r="G397" s="117" t="s">
        <v>374</v>
      </c>
      <c r="H397" s="65">
        <f>'c-17'!F128</f>
        <v>96</v>
      </c>
      <c r="I397" s="64" t="s">
        <v>374</v>
      </c>
      <c r="J397" s="65">
        <f>'c-23'!F104</f>
        <v>378</v>
      </c>
      <c r="K397" s="26">
        <f>'c-24'!F91</f>
        <v>162</v>
      </c>
      <c r="L397" s="26">
        <f>'c-15'!F105</f>
        <v>374</v>
      </c>
      <c r="M397" s="117" t="s">
        <v>374</v>
      </c>
      <c r="N397" s="65">
        <f>'c-16'!F103</f>
        <v>571</v>
      </c>
      <c r="O397" s="65" t="s">
        <v>374</v>
      </c>
      <c r="P397" s="65" t="s">
        <v>374</v>
      </c>
    </row>
    <row r="398" spans="1:24" ht="15.75" customHeight="1">
      <c r="A398" s="120" t="s">
        <v>888</v>
      </c>
      <c r="B398" s="26">
        <f>SUM(C398:P398)</f>
        <v>369</v>
      </c>
      <c r="C398" s="134">
        <f>'c-10'!E134</f>
        <v>2</v>
      </c>
      <c r="D398" s="24" t="s">
        <v>374</v>
      </c>
      <c r="E398" s="117" t="s">
        <v>374</v>
      </c>
      <c r="F398" s="117" t="s">
        <v>374</v>
      </c>
      <c r="G398" s="117" t="s">
        <v>374</v>
      </c>
      <c r="H398" s="65">
        <f>'c-17'!F129</f>
        <v>17</v>
      </c>
      <c r="I398" s="64" t="s">
        <v>374</v>
      </c>
      <c r="J398" s="65">
        <f>'c-23'!F105</f>
        <v>104</v>
      </c>
      <c r="K398" s="26">
        <f>'c-24'!F92</f>
        <v>12</v>
      </c>
      <c r="L398" s="26">
        <f>'c-15'!F106</f>
        <v>79</v>
      </c>
      <c r="M398" s="117" t="s">
        <v>374</v>
      </c>
      <c r="N398" s="65">
        <f>'c-16'!F104</f>
        <v>155</v>
      </c>
      <c r="O398" s="65" t="s">
        <v>374</v>
      </c>
      <c r="P398" s="65" t="s">
        <v>374</v>
      </c>
      <c r="Q398" s="91"/>
      <c r="R398" s="91"/>
      <c r="S398" s="91"/>
      <c r="T398" s="91"/>
      <c r="U398" s="91"/>
      <c r="X398" s="91"/>
    </row>
    <row r="399" spans="1:24" s="91" customFormat="1" ht="15.75" customHeight="1">
      <c r="A399" s="120" t="s">
        <v>644</v>
      </c>
      <c r="B399" s="26">
        <f t="shared" si="18"/>
        <v>1003</v>
      </c>
      <c r="C399" s="134">
        <f>'c-10'!E139</f>
        <v>10</v>
      </c>
      <c r="D399" s="24" t="s">
        <v>374</v>
      </c>
      <c r="E399" s="117" t="s">
        <v>374</v>
      </c>
      <c r="F399" s="117" t="s">
        <v>374</v>
      </c>
      <c r="G399" s="117" t="s">
        <v>374</v>
      </c>
      <c r="H399" s="65">
        <f>'c-17'!F134</f>
        <v>47</v>
      </c>
      <c r="I399" s="64" t="s">
        <v>374</v>
      </c>
      <c r="J399" s="65">
        <f>'c-23'!F109</f>
        <v>337</v>
      </c>
      <c r="K399" s="24">
        <f>'c-24'!F96</f>
        <v>140</v>
      </c>
      <c r="L399" s="26">
        <f>'c-15'!F110</f>
        <v>137</v>
      </c>
      <c r="M399" s="117" t="s">
        <v>374</v>
      </c>
      <c r="N399" s="65">
        <f>'c-16'!F108</f>
        <v>332</v>
      </c>
      <c r="O399" s="65" t="s">
        <v>374</v>
      </c>
      <c r="P399" s="65" t="s">
        <v>374</v>
      </c>
      <c r="V399" s="35"/>
      <c r="W399" s="35"/>
    </row>
    <row r="400" spans="1:24" ht="15.75" customHeight="1">
      <c r="A400" s="120" t="s">
        <v>645</v>
      </c>
      <c r="B400" s="26">
        <f t="shared" si="18"/>
        <v>1506</v>
      </c>
      <c r="C400" s="134">
        <f>'c-10'!E140</f>
        <v>12</v>
      </c>
      <c r="D400" s="24" t="s">
        <v>374</v>
      </c>
      <c r="E400" s="117" t="s">
        <v>374</v>
      </c>
      <c r="F400" s="117" t="s">
        <v>374</v>
      </c>
      <c r="G400" s="117" t="s">
        <v>374</v>
      </c>
      <c r="H400" s="65">
        <f>'c-17'!F135</f>
        <v>87</v>
      </c>
      <c r="I400" s="64" t="s">
        <v>374</v>
      </c>
      <c r="J400" s="65">
        <f>'c-23'!F110</f>
        <v>590</v>
      </c>
      <c r="K400" s="64" t="s">
        <v>374</v>
      </c>
      <c r="L400" s="26">
        <f>'c-15'!F111</f>
        <v>269</v>
      </c>
      <c r="M400" s="117" t="s">
        <v>374</v>
      </c>
      <c r="N400" s="65">
        <f>'c-16'!F109</f>
        <v>548</v>
      </c>
      <c r="O400" s="65" t="s">
        <v>374</v>
      </c>
      <c r="P400" s="65" t="s">
        <v>374</v>
      </c>
    </row>
    <row r="401" spans="1:16" ht="15.75" customHeight="1">
      <c r="A401" s="120" t="s">
        <v>646</v>
      </c>
      <c r="B401" s="26">
        <f t="shared" si="18"/>
        <v>1709</v>
      </c>
      <c r="C401" s="134">
        <f>'c-10'!E145</f>
        <v>50</v>
      </c>
      <c r="D401" s="24" t="s">
        <v>374</v>
      </c>
      <c r="E401" s="117" t="s">
        <v>374</v>
      </c>
      <c r="F401" s="117" t="s">
        <v>374</v>
      </c>
      <c r="G401" s="117" t="s">
        <v>374</v>
      </c>
      <c r="H401" s="65">
        <f>'c-17'!F140</f>
        <v>193</v>
      </c>
      <c r="I401" s="64" t="s">
        <v>374</v>
      </c>
      <c r="J401" s="65">
        <f>'c-23'!F114</f>
        <v>551</v>
      </c>
      <c r="K401" s="64" t="s">
        <v>374</v>
      </c>
      <c r="L401" s="26">
        <f>'c-15'!F115</f>
        <v>368</v>
      </c>
      <c r="M401" s="117" t="s">
        <v>374</v>
      </c>
      <c r="N401" s="65">
        <f>'c-16'!F114</f>
        <v>547</v>
      </c>
      <c r="O401" s="65" t="s">
        <v>374</v>
      </c>
      <c r="P401" s="65" t="s">
        <v>374</v>
      </c>
    </row>
    <row r="402" spans="1:16" ht="15.75" customHeight="1">
      <c r="A402" s="120" t="s">
        <v>481</v>
      </c>
      <c r="B402" s="26">
        <f t="shared" si="18"/>
        <v>1359</v>
      </c>
      <c r="C402" s="134">
        <f>'c-10'!E146</f>
        <v>73</v>
      </c>
      <c r="D402" s="24" t="s">
        <v>374</v>
      </c>
      <c r="E402" s="117" t="s">
        <v>374</v>
      </c>
      <c r="F402" s="117" t="s">
        <v>374</v>
      </c>
      <c r="G402" s="117" t="s">
        <v>374</v>
      </c>
      <c r="H402" s="65">
        <f>'c-17'!F141</f>
        <v>286</v>
      </c>
      <c r="I402" s="64" t="s">
        <v>374</v>
      </c>
      <c r="J402" s="65">
        <f>'c-23'!F115</f>
        <v>1000</v>
      </c>
      <c r="K402" s="64" t="s">
        <v>374</v>
      </c>
      <c r="L402" s="117" t="s">
        <v>374</v>
      </c>
      <c r="M402" s="117" t="s">
        <v>374</v>
      </c>
      <c r="N402" s="117" t="s">
        <v>374</v>
      </c>
      <c r="O402" s="65" t="s">
        <v>374</v>
      </c>
      <c r="P402" s="65" t="s">
        <v>374</v>
      </c>
    </row>
    <row r="403" spans="1:16" ht="15.75" customHeight="1">
      <c r="A403" s="120"/>
      <c r="B403" s="64"/>
      <c r="C403" s="24"/>
      <c r="D403" s="121"/>
      <c r="E403" s="117"/>
      <c r="F403" s="117"/>
      <c r="G403" s="117"/>
      <c r="H403" s="141"/>
      <c r="I403" s="64"/>
      <c r="J403" s="121"/>
      <c r="K403" s="117"/>
      <c r="L403" s="117"/>
      <c r="M403" s="117"/>
      <c r="N403" s="141"/>
      <c r="O403" s="65"/>
      <c r="P403" s="65"/>
    </row>
    <row r="404" spans="1:16" ht="15.75" customHeight="1">
      <c r="A404" s="106" t="s">
        <v>647</v>
      </c>
      <c r="B404" s="122">
        <f>SUM(B406:B408)</f>
        <v>5778</v>
      </c>
      <c r="C404" s="122">
        <f>SUM(C406:C408)</f>
        <v>211</v>
      </c>
      <c r="D404" s="122">
        <f>SUM(D406:D408)</f>
        <v>3006</v>
      </c>
      <c r="E404" s="122" t="str">
        <f>+E407</f>
        <v>-</v>
      </c>
      <c r="F404" s="122" t="str">
        <f>+F407</f>
        <v>-</v>
      </c>
      <c r="G404" s="122" t="str">
        <f>+G407</f>
        <v>-</v>
      </c>
      <c r="H404" s="142">
        <f>SUM(H406:H408)</f>
        <v>558</v>
      </c>
      <c r="I404" s="122" t="str">
        <f>+I407</f>
        <v>-</v>
      </c>
      <c r="J404" s="122" t="str">
        <f>+J407</f>
        <v>-</v>
      </c>
      <c r="K404" s="122">
        <f>SUM(K406:K408)</f>
        <v>2003</v>
      </c>
      <c r="L404" s="122" t="str">
        <f>+L407</f>
        <v>-</v>
      </c>
      <c r="M404" s="122" t="str">
        <f>+M407</f>
        <v>-</v>
      </c>
      <c r="N404" s="122" t="str">
        <f>+N407</f>
        <v>-</v>
      </c>
      <c r="O404" s="142" t="str">
        <f>+O407</f>
        <v>-</v>
      </c>
      <c r="P404" s="142" t="str">
        <f>+P407</f>
        <v>-</v>
      </c>
    </row>
    <row r="405" spans="1:16" ht="15.75" customHeight="1">
      <c r="A405" s="120"/>
      <c r="B405" s="64"/>
      <c r="C405" s="24"/>
      <c r="D405" s="121"/>
      <c r="E405" s="117"/>
      <c r="F405" s="117"/>
      <c r="G405" s="117"/>
      <c r="H405" s="121"/>
      <c r="I405" s="117"/>
      <c r="J405" s="121"/>
      <c r="K405" s="117"/>
      <c r="L405" s="117"/>
      <c r="M405" s="117"/>
      <c r="N405" s="141"/>
      <c r="O405" s="65"/>
      <c r="P405" s="65"/>
    </row>
    <row r="406" spans="1:16" ht="15.75" customHeight="1">
      <c r="A406" s="120" t="s">
        <v>648</v>
      </c>
      <c r="B406" s="26">
        <f>SUM(C406:P406)</f>
        <v>2696</v>
      </c>
      <c r="C406" s="24">
        <f>'c-10'!E92</f>
        <v>75</v>
      </c>
      <c r="D406" s="121">
        <f>'c-11'!E37</f>
        <v>1398</v>
      </c>
      <c r="E406" s="117" t="s">
        <v>374</v>
      </c>
      <c r="F406" s="117" t="s">
        <v>374</v>
      </c>
      <c r="G406" s="117" t="s">
        <v>374</v>
      </c>
      <c r="H406" s="117">
        <f>'c-17'!F86</f>
        <v>357</v>
      </c>
      <c r="I406" s="117" t="s">
        <v>374</v>
      </c>
      <c r="J406" s="117" t="s">
        <v>374</v>
      </c>
      <c r="K406" s="51">
        <f>'c-24'!F60</f>
        <v>866</v>
      </c>
      <c r="L406" s="117" t="s">
        <v>374</v>
      </c>
      <c r="M406" s="117" t="s">
        <v>374</v>
      </c>
      <c r="N406" s="117" t="s">
        <v>374</v>
      </c>
      <c r="O406" s="118" t="s">
        <v>374</v>
      </c>
      <c r="P406" s="66" t="s">
        <v>374</v>
      </c>
    </row>
    <row r="407" spans="1:16" ht="15.75" customHeight="1">
      <c r="A407" s="120" t="s">
        <v>649</v>
      </c>
      <c r="B407" s="26">
        <f>SUM(C407:P407)</f>
        <v>795</v>
      </c>
      <c r="C407" s="24">
        <f>'c-10'!E102</f>
        <v>136</v>
      </c>
      <c r="D407" s="121" t="s">
        <v>374</v>
      </c>
      <c r="E407" s="117" t="s">
        <v>374</v>
      </c>
      <c r="F407" s="117" t="s">
        <v>374</v>
      </c>
      <c r="G407" s="117" t="s">
        <v>374</v>
      </c>
      <c r="H407" s="24">
        <f>'c-17'!F97</f>
        <v>201</v>
      </c>
      <c r="I407" s="117" t="s">
        <v>374</v>
      </c>
      <c r="J407" s="117" t="s">
        <v>374</v>
      </c>
      <c r="K407" s="117">
        <f>'c-24'!F68</f>
        <v>458</v>
      </c>
      <c r="L407" s="117" t="s">
        <v>374</v>
      </c>
      <c r="M407" s="117" t="s">
        <v>374</v>
      </c>
      <c r="N407" s="117" t="s">
        <v>374</v>
      </c>
      <c r="O407" s="65" t="s">
        <v>374</v>
      </c>
      <c r="P407" s="65" t="s">
        <v>374</v>
      </c>
    </row>
    <row r="408" spans="1:16" ht="15.75" customHeight="1">
      <c r="A408" s="120" t="s">
        <v>500</v>
      </c>
      <c r="B408" s="26">
        <f>SUM(C408:P408)</f>
        <v>2287</v>
      </c>
      <c r="C408" s="53" t="s">
        <v>374</v>
      </c>
      <c r="D408" s="26">
        <f>'c-11'!E40</f>
        <v>1608</v>
      </c>
      <c r="E408" s="64" t="s">
        <v>374</v>
      </c>
      <c r="F408" s="117" t="s">
        <v>374</v>
      </c>
      <c r="G408" s="117" t="s">
        <v>374</v>
      </c>
      <c r="H408" s="117" t="s">
        <v>374</v>
      </c>
      <c r="I408" s="117" t="s">
        <v>374</v>
      </c>
      <c r="J408" s="117" t="s">
        <v>374</v>
      </c>
      <c r="K408" s="21">
        <f>'c-24'!F69</f>
        <v>679</v>
      </c>
      <c r="L408" s="64" t="s">
        <v>374</v>
      </c>
      <c r="M408" s="117" t="s">
        <v>374</v>
      </c>
      <c r="N408" s="117" t="s">
        <v>374</v>
      </c>
      <c r="O408" s="118" t="s">
        <v>374</v>
      </c>
      <c r="P408" s="66" t="s">
        <v>374</v>
      </c>
    </row>
    <row r="409" spans="1:16" ht="15.75" customHeight="1">
      <c r="A409" s="113"/>
      <c r="B409" s="26"/>
      <c r="C409" s="26"/>
      <c r="D409" s="51"/>
      <c r="E409" s="117"/>
      <c r="F409" s="51"/>
      <c r="G409" s="117"/>
      <c r="H409" s="51"/>
      <c r="I409" s="117"/>
      <c r="J409" s="51"/>
      <c r="K409" s="51"/>
      <c r="L409" s="117"/>
      <c r="M409" s="51"/>
      <c r="N409" s="21"/>
      <c r="O409" s="65"/>
      <c r="P409" s="65"/>
    </row>
    <row r="410" spans="1:16" ht="15.75" customHeight="1">
      <c r="A410" s="106" t="s">
        <v>650</v>
      </c>
      <c r="B410" s="62">
        <f>SUM(B412:B478)</f>
        <v>185961</v>
      </c>
      <c r="C410" s="97" t="s">
        <v>374</v>
      </c>
      <c r="D410" s="97" t="s">
        <v>374</v>
      </c>
      <c r="E410" s="97" t="s">
        <v>374</v>
      </c>
      <c r="F410" s="97" t="s">
        <v>374</v>
      </c>
      <c r="G410" s="97" t="s">
        <v>374</v>
      </c>
      <c r="H410" s="97" t="s">
        <v>374</v>
      </c>
      <c r="I410" s="62">
        <f>SUM(I412:I480)</f>
        <v>177324</v>
      </c>
      <c r="J410" s="97" t="s">
        <v>374</v>
      </c>
      <c r="K410" s="97" t="s">
        <v>374</v>
      </c>
      <c r="L410" s="97" t="s">
        <v>374</v>
      </c>
      <c r="M410" s="62">
        <f>SUM(M412:M478)</f>
        <v>9089</v>
      </c>
      <c r="N410" s="98" t="s">
        <v>374</v>
      </c>
      <c r="O410" s="112" t="s">
        <v>374</v>
      </c>
      <c r="P410" s="112" t="s">
        <v>374</v>
      </c>
    </row>
    <row r="411" spans="1:16" ht="15.75" customHeight="1">
      <c r="A411" s="120"/>
      <c r="B411" s="64"/>
      <c r="C411" s="117"/>
      <c r="D411" s="117"/>
      <c r="E411" s="117"/>
      <c r="F411" s="117"/>
      <c r="G411" s="117"/>
      <c r="H411" s="117"/>
      <c r="I411" s="50"/>
      <c r="J411" s="117"/>
      <c r="K411" s="117"/>
      <c r="L411" s="117"/>
      <c r="M411" s="117"/>
      <c r="N411" s="118"/>
      <c r="O411" s="65"/>
      <c r="P411" s="65"/>
    </row>
    <row r="412" spans="1:16" ht="15.75" customHeight="1">
      <c r="A412" s="120" t="s">
        <v>1019</v>
      </c>
      <c r="B412" s="26">
        <f t="shared" ref="B412:B480" si="19">SUM(C412:P412)</f>
        <v>9639</v>
      </c>
      <c r="C412" s="117" t="s">
        <v>374</v>
      </c>
      <c r="D412" s="117" t="s">
        <v>374</v>
      </c>
      <c r="E412" s="117" t="s">
        <v>374</v>
      </c>
      <c r="F412" s="117" t="s">
        <v>374</v>
      </c>
      <c r="G412" s="117" t="s">
        <v>374</v>
      </c>
      <c r="H412" s="117" t="s">
        <v>374</v>
      </c>
      <c r="I412" s="24">
        <f>'c-18'!F12</f>
        <v>9639</v>
      </c>
      <c r="J412" s="117" t="s">
        <v>374</v>
      </c>
      <c r="K412" s="117" t="s">
        <v>374</v>
      </c>
      <c r="L412" s="117" t="s">
        <v>374</v>
      </c>
      <c r="M412" s="117" t="s">
        <v>374</v>
      </c>
      <c r="N412" s="118" t="s">
        <v>374</v>
      </c>
      <c r="O412" s="65" t="s">
        <v>374</v>
      </c>
      <c r="P412" s="65" t="s">
        <v>374</v>
      </c>
    </row>
    <row r="413" spans="1:16" ht="15.75" customHeight="1">
      <c r="A413" s="120" t="s">
        <v>1020</v>
      </c>
      <c r="B413" s="26">
        <f t="shared" si="19"/>
        <v>4468</v>
      </c>
      <c r="C413" s="117" t="s">
        <v>374</v>
      </c>
      <c r="D413" s="117" t="s">
        <v>374</v>
      </c>
      <c r="E413" s="117" t="s">
        <v>374</v>
      </c>
      <c r="F413" s="117" t="s">
        <v>374</v>
      </c>
      <c r="G413" s="117" t="s">
        <v>374</v>
      </c>
      <c r="H413" s="117" t="s">
        <v>374</v>
      </c>
      <c r="I413" s="24">
        <f>'c-18'!F13</f>
        <v>4468</v>
      </c>
      <c r="J413" s="117" t="s">
        <v>374</v>
      </c>
      <c r="K413" s="117" t="s">
        <v>374</v>
      </c>
      <c r="L413" s="117" t="s">
        <v>374</v>
      </c>
      <c r="M413" s="117" t="s">
        <v>374</v>
      </c>
      <c r="N413" s="118" t="s">
        <v>374</v>
      </c>
      <c r="O413" s="65" t="s">
        <v>374</v>
      </c>
      <c r="P413" s="65" t="s">
        <v>374</v>
      </c>
    </row>
    <row r="414" spans="1:16" ht="15.75" customHeight="1">
      <c r="A414" s="120" t="s">
        <v>1021</v>
      </c>
      <c r="B414" s="26">
        <f t="shared" si="19"/>
        <v>4044</v>
      </c>
      <c r="C414" s="117" t="s">
        <v>374</v>
      </c>
      <c r="D414" s="117" t="s">
        <v>374</v>
      </c>
      <c r="E414" s="117" t="s">
        <v>374</v>
      </c>
      <c r="F414" s="117" t="s">
        <v>374</v>
      </c>
      <c r="G414" s="117" t="s">
        <v>374</v>
      </c>
      <c r="H414" s="117" t="s">
        <v>374</v>
      </c>
      <c r="I414" s="24">
        <f>'c-18'!F14</f>
        <v>4044</v>
      </c>
      <c r="J414" s="117" t="s">
        <v>374</v>
      </c>
      <c r="K414" s="117" t="s">
        <v>374</v>
      </c>
      <c r="L414" s="117" t="s">
        <v>374</v>
      </c>
      <c r="M414" s="117" t="s">
        <v>374</v>
      </c>
      <c r="N414" s="118" t="s">
        <v>374</v>
      </c>
      <c r="O414" s="65" t="s">
        <v>374</v>
      </c>
      <c r="P414" s="65" t="s">
        <v>374</v>
      </c>
    </row>
    <row r="415" spans="1:16" ht="15.75" customHeight="1">
      <c r="A415" s="120" t="s">
        <v>1022</v>
      </c>
      <c r="B415" s="26">
        <f t="shared" si="19"/>
        <v>196</v>
      </c>
      <c r="C415" s="117" t="s">
        <v>374</v>
      </c>
      <c r="D415" s="117" t="s">
        <v>374</v>
      </c>
      <c r="E415" s="117" t="s">
        <v>374</v>
      </c>
      <c r="F415" s="117" t="s">
        <v>374</v>
      </c>
      <c r="G415" s="117" t="s">
        <v>374</v>
      </c>
      <c r="H415" s="117" t="s">
        <v>374</v>
      </c>
      <c r="I415" s="24">
        <f>'c-18'!F15</f>
        <v>196</v>
      </c>
      <c r="J415" s="117" t="s">
        <v>374</v>
      </c>
      <c r="K415" s="117" t="s">
        <v>374</v>
      </c>
      <c r="L415" s="117" t="s">
        <v>374</v>
      </c>
      <c r="M415" s="117" t="s">
        <v>374</v>
      </c>
      <c r="N415" s="118" t="s">
        <v>374</v>
      </c>
      <c r="O415" s="65" t="s">
        <v>374</v>
      </c>
      <c r="P415" s="65" t="s">
        <v>374</v>
      </c>
    </row>
    <row r="416" spans="1:16" ht="15.75" customHeight="1">
      <c r="A416" s="120" t="s">
        <v>1023</v>
      </c>
      <c r="B416" s="26">
        <f t="shared" si="19"/>
        <v>154</v>
      </c>
      <c r="C416" s="117" t="s">
        <v>374</v>
      </c>
      <c r="D416" s="117" t="s">
        <v>374</v>
      </c>
      <c r="E416" s="117" t="s">
        <v>374</v>
      </c>
      <c r="F416" s="117" t="s">
        <v>374</v>
      </c>
      <c r="G416" s="117" t="s">
        <v>374</v>
      </c>
      <c r="H416" s="117" t="s">
        <v>374</v>
      </c>
      <c r="I416" s="24">
        <f>'c-18'!F16</f>
        <v>154</v>
      </c>
      <c r="J416" s="117" t="s">
        <v>374</v>
      </c>
      <c r="K416" s="117" t="s">
        <v>374</v>
      </c>
      <c r="L416" s="117" t="s">
        <v>374</v>
      </c>
      <c r="M416" s="117" t="s">
        <v>374</v>
      </c>
      <c r="N416" s="118" t="s">
        <v>374</v>
      </c>
      <c r="O416" s="65" t="s">
        <v>374</v>
      </c>
      <c r="P416" s="65" t="s">
        <v>374</v>
      </c>
    </row>
    <row r="417" spans="1:16" ht="15.75" customHeight="1">
      <c r="A417" s="116" t="s">
        <v>1024</v>
      </c>
      <c r="B417" s="26">
        <f t="shared" si="19"/>
        <v>101</v>
      </c>
      <c r="C417" s="117" t="s">
        <v>374</v>
      </c>
      <c r="D417" s="117" t="s">
        <v>374</v>
      </c>
      <c r="E417" s="117" t="s">
        <v>374</v>
      </c>
      <c r="F417" s="117" t="s">
        <v>374</v>
      </c>
      <c r="G417" s="117" t="s">
        <v>374</v>
      </c>
      <c r="H417" s="117" t="s">
        <v>374</v>
      </c>
      <c r="I417" s="24">
        <f>'c-18'!F17</f>
        <v>101</v>
      </c>
      <c r="J417" s="117" t="s">
        <v>374</v>
      </c>
      <c r="K417" s="117" t="s">
        <v>374</v>
      </c>
      <c r="L417" s="117" t="s">
        <v>374</v>
      </c>
      <c r="M417" s="117" t="s">
        <v>374</v>
      </c>
      <c r="N417" s="117" t="s">
        <v>374</v>
      </c>
      <c r="O417" s="117" t="s">
        <v>374</v>
      </c>
      <c r="P417" s="65" t="s">
        <v>374</v>
      </c>
    </row>
    <row r="418" spans="1:16" ht="15.75" customHeight="1">
      <c r="A418" s="116" t="s">
        <v>1025</v>
      </c>
      <c r="B418" s="26">
        <f t="shared" si="19"/>
        <v>1733</v>
      </c>
      <c r="C418" s="117" t="s">
        <v>374</v>
      </c>
      <c r="D418" s="117" t="s">
        <v>374</v>
      </c>
      <c r="E418" s="117" t="s">
        <v>374</v>
      </c>
      <c r="F418" s="117" t="s">
        <v>374</v>
      </c>
      <c r="G418" s="117" t="s">
        <v>374</v>
      </c>
      <c r="H418" s="117" t="s">
        <v>374</v>
      </c>
      <c r="I418" s="24">
        <f>'c-18'!F18</f>
        <v>1733</v>
      </c>
      <c r="J418" s="117" t="s">
        <v>374</v>
      </c>
      <c r="K418" s="117" t="s">
        <v>374</v>
      </c>
      <c r="L418" s="117" t="s">
        <v>374</v>
      </c>
      <c r="M418" s="117" t="s">
        <v>374</v>
      </c>
      <c r="N418" s="117" t="s">
        <v>374</v>
      </c>
      <c r="O418" s="117" t="s">
        <v>374</v>
      </c>
      <c r="P418" s="65" t="s">
        <v>374</v>
      </c>
    </row>
    <row r="419" spans="1:16" ht="15.75" customHeight="1">
      <c r="A419" s="116" t="s">
        <v>1026</v>
      </c>
      <c r="B419" s="26">
        <f t="shared" si="19"/>
        <v>2634</v>
      </c>
      <c r="C419" s="117" t="s">
        <v>374</v>
      </c>
      <c r="D419" s="117" t="s">
        <v>374</v>
      </c>
      <c r="E419" s="117" t="s">
        <v>374</v>
      </c>
      <c r="F419" s="117" t="s">
        <v>374</v>
      </c>
      <c r="G419" s="117" t="s">
        <v>374</v>
      </c>
      <c r="H419" s="117" t="s">
        <v>374</v>
      </c>
      <c r="I419" s="24">
        <f>'c-18'!F19</f>
        <v>2634</v>
      </c>
      <c r="J419" s="117" t="s">
        <v>374</v>
      </c>
      <c r="K419" s="117" t="s">
        <v>374</v>
      </c>
      <c r="L419" s="117" t="s">
        <v>374</v>
      </c>
      <c r="M419" s="117" t="s">
        <v>374</v>
      </c>
      <c r="N419" s="117" t="s">
        <v>374</v>
      </c>
      <c r="O419" s="117" t="s">
        <v>374</v>
      </c>
      <c r="P419" s="65" t="s">
        <v>374</v>
      </c>
    </row>
    <row r="420" spans="1:16" ht="15.75" customHeight="1">
      <c r="A420" s="116" t="s">
        <v>1027</v>
      </c>
      <c r="B420" s="26">
        <f t="shared" si="19"/>
        <v>829</v>
      </c>
      <c r="C420" s="117" t="s">
        <v>374</v>
      </c>
      <c r="D420" s="117" t="s">
        <v>374</v>
      </c>
      <c r="E420" s="117" t="s">
        <v>374</v>
      </c>
      <c r="F420" s="117" t="s">
        <v>374</v>
      </c>
      <c r="G420" s="117" t="s">
        <v>374</v>
      </c>
      <c r="H420" s="117" t="s">
        <v>374</v>
      </c>
      <c r="I420" s="24">
        <f>'c-18'!F20</f>
        <v>829</v>
      </c>
      <c r="J420" s="117" t="s">
        <v>374</v>
      </c>
      <c r="K420" s="117" t="s">
        <v>374</v>
      </c>
      <c r="L420" s="117" t="s">
        <v>374</v>
      </c>
      <c r="M420" s="117" t="s">
        <v>374</v>
      </c>
      <c r="N420" s="117" t="s">
        <v>374</v>
      </c>
      <c r="O420" s="117" t="s">
        <v>374</v>
      </c>
      <c r="P420" s="65" t="s">
        <v>374</v>
      </c>
    </row>
    <row r="421" spans="1:16" ht="15.75" customHeight="1">
      <c r="A421" s="116" t="s">
        <v>1028</v>
      </c>
      <c r="B421" s="26">
        <f t="shared" si="19"/>
        <v>67</v>
      </c>
      <c r="C421" s="117" t="s">
        <v>374</v>
      </c>
      <c r="D421" s="117" t="s">
        <v>374</v>
      </c>
      <c r="E421" s="117" t="s">
        <v>374</v>
      </c>
      <c r="F421" s="117" t="s">
        <v>374</v>
      </c>
      <c r="G421" s="117" t="s">
        <v>374</v>
      </c>
      <c r="H421" s="117" t="s">
        <v>374</v>
      </c>
      <c r="I421" s="24">
        <f>'c-18'!F21</f>
        <v>67</v>
      </c>
      <c r="J421" s="117" t="s">
        <v>374</v>
      </c>
      <c r="K421" s="117" t="s">
        <v>374</v>
      </c>
      <c r="L421" s="117" t="s">
        <v>374</v>
      </c>
      <c r="M421" s="117" t="s">
        <v>374</v>
      </c>
      <c r="N421" s="117" t="s">
        <v>374</v>
      </c>
      <c r="O421" s="117" t="s">
        <v>374</v>
      </c>
      <c r="P421" s="65" t="s">
        <v>374</v>
      </c>
    </row>
    <row r="422" spans="1:16" ht="15.75" customHeight="1">
      <c r="A422" s="116" t="s">
        <v>1029</v>
      </c>
      <c r="B422" s="26">
        <f t="shared" si="19"/>
        <v>41</v>
      </c>
      <c r="C422" s="117" t="s">
        <v>374</v>
      </c>
      <c r="D422" s="117" t="s">
        <v>374</v>
      </c>
      <c r="E422" s="117" t="s">
        <v>374</v>
      </c>
      <c r="F422" s="117" t="s">
        <v>374</v>
      </c>
      <c r="G422" s="117" t="s">
        <v>374</v>
      </c>
      <c r="H422" s="117" t="s">
        <v>374</v>
      </c>
      <c r="I422" s="24">
        <f>'c-18'!F22</f>
        <v>41</v>
      </c>
      <c r="J422" s="117" t="s">
        <v>374</v>
      </c>
      <c r="K422" s="117" t="s">
        <v>374</v>
      </c>
      <c r="L422" s="117" t="s">
        <v>374</v>
      </c>
      <c r="M422" s="117" t="s">
        <v>374</v>
      </c>
      <c r="N422" s="117" t="s">
        <v>374</v>
      </c>
      <c r="O422" s="117" t="s">
        <v>374</v>
      </c>
      <c r="P422" s="65" t="s">
        <v>374</v>
      </c>
    </row>
    <row r="423" spans="1:16" ht="15.75" customHeight="1">
      <c r="A423" s="116" t="s">
        <v>1030</v>
      </c>
      <c r="B423" s="26">
        <f t="shared" si="19"/>
        <v>1478</v>
      </c>
      <c r="C423" s="117" t="s">
        <v>374</v>
      </c>
      <c r="D423" s="117" t="s">
        <v>374</v>
      </c>
      <c r="E423" s="117" t="s">
        <v>374</v>
      </c>
      <c r="F423" s="117" t="s">
        <v>374</v>
      </c>
      <c r="G423" s="117" t="s">
        <v>374</v>
      </c>
      <c r="H423" s="117" t="s">
        <v>374</v>
      </c>
      <c r="I423" s="24">
        <f>'c-18'!F23</f>
        <v>1416</v>
      </c>
      <c r="J423" s="117" t="s">
        <v>374</v>
      </c>
      <c r="K423" s="117" t="s">
        <v>374</v>
      </c>
      <c r="L423" s="117" t="s">
        <v>374</v>
      </c>
      <c r="M423" s="117">
        <f>'c-21'!F13</f>
        <v>62</v>
      </c>
      <c r="N423" s="117" t="s">
        <v>374</v>
      </c>
      <c r="O423" s="117" t="s">
        <v>374</v>
      </c>
      <c r="P423" s="65" t="s">
        <v>374</v>
      </c>
    </row>
    <row r="424" spans="1:16" ht="15.75" customHeight="1">
      <c r="A424" s="120" t="s">
        <v>470</v>
      </c>
      <c r="B424" s="26">
        <f t="shared" si="19"/>
        <v>13215</v>
      </c>
      <c r="C424" s="117" t="s">
        <v>374</v>
      </c>
      <c r="D424" s="117" t="s">
        <v>374</v>
      </c>
      <c r="E424" s="117" t="s">
        <v>374</v>
      </c>
      <c r="F424" s="117" t="s">
        <v>374</v>
      </c>
      <c r="G424" s="117" t="s">
        <v>374</v>
      </c>
      <c r="H424" s="117" t="s">
        <v>374</v>
      </c>
      <c r="I424" s="24">
        <f>'c-18'!F26</f>
        <v>13215</v>
      </c>
      <c r="J424" s="117" t="s">
        <v>374</v>
      </c>
      <c r="K424" s="117" t="s">
        <v>374</v>
      </c>
      <c r="L424" s="117" t="s">
        <v>374</v>
      </c>
      <c r="M424" s="117" t="s">
        <v>374</v>
      </c>
      <c r="N424" s="118" t="s">
        <v>374</v>
      </c>
      <c r="O424" s="65" t="s">
        <v>374</v>
      </c>
      <c r="P424" s="65" t="s">
        <v>374</v>
      </c>
    </row>
    <row r="425" spans="1:16" ht="15.75" customHeight="1">
      <c r="A425" s="120" t="s">
        <v>471</v>
      </c>
      <c r="B425" s="26">
        <f t="shared" si="19"/>
        <v>875</v>
      </c>
      <c r="C425" s="117" t="s">
        <v>374</v>
      </c>
      <c r="D425" s="117" t="s">
        <v>374</v>
      </c>
      <c r="E425" s="117" t="s">
        <v>374</v>
      </c>
      <c r="F425" s="117" t="s">
        <v>374</v>
      </c>
      <c r="G425" s="117" t="s">
        <v>374</v>
      </c>
      <c r="H425" s="117" t="s">
        <v>374</v>
      </c>
      <c r="I425" s="24">
        <f>'c-18'!F27</f>
        <v>875</v>
      </c>
      <c r="J425" s="117" t="s">
        <v>374</v>
      </c>
      <c r="K425" s="117" t="s">
        <v>374</v>
      </c>
      <c r="L425" s="117" t="s">
        <v>374</v>
      </c>
      <c r="M425" s="117" t="s">
        <v>374</v>
      </c>
      <c r="N425" s="118" t="s">
        <v>374</v>
      </c>
      <c r="O425" s="65" t="s">
        <v>374</v>
      </c>
      <c r="P425" s="65" t="s">
        <v>374</v>
      </c>
    </row>
    <row r="426" spans="1:16" ht="15.75" customHeight="1">
      <c r="A426" s="120" t="s">
        <v>472</v>
      </c>
      <c r="B426" s="26">
        <f t="shared" si="19"/>
        <v>3756</v>
      </c>
      <c r="C426" s="117" t="s">
        <v>374</v>
      </c>
      <c r="D426" s="117" t="s">
        <v>374</v>
      </c>
      <c r="E426" s="117" t="s">
        <v>374</v>
      </c>
      <c r="F426" s="117" t="s">
        <v>374</v>
      </c>
      <c r="G426" s="117" t="s">
        <v>374</v>
      </c>
      <c r="H426" s="117" t="s">
        <v>374</v>
      </c>
      <c r="I426" s="24">
        <f>'c-18'!F30</f>
        <v>3756</v>
      </c>
      <c r="J426" s="117" t="s">
        <v>374</v>
      </c>
      <c r="K426" s="117" t="s">
        <v>374</v>
      </c>
      <c r="L426" s="117" t="s">
        <v>374</v>
      </c>
      <c r="M426" s="117" t="s">
        <v>374</v>
      </c>
      <c r="N426" s="118" t="s">
        <v>374</v>
      </c>
      <c r="O426" s="65" t="s">
        <v>374</v>
      </c>
      <c r="P426" s="65" t="s">
        <v>374</v>
      </c>
    </row>
    <row r="427" spans="1:16" ht="15.75" customHeight="1">
      <c r="A427" s="120" t="s">
        <v>892</v>
      </c>
      <c r="B427" s="26">
        <f t="shared" si="19"/>
        <v>4967</v>
      </c>
      <c r="C427" s="117" t="s">
        <v>374</v>
      </c>
      <c r="D427" s="117" t="s">
        <v>374</v>
      </c>
      <c r="E427" s="117" t="s">
        <v>374</v>
      </c>
      <c r="F427" s="117" t="s">
        <v>374</v>
      </c>
      <c r="G427" s="117" t="s">
        <v>374</v>
      </c>
      <c r="H427" s="117" t="s">
        <v>374</v>
      </c>
      <c r="I427" s="24">
        <f>'c-18'!F31</f>
        <v>4967</v>
      </c>
      <c r="J427" s="117" t="s">
        <v>374</v>
      </c>
      <c r="K427" s="117" t="s">
        <v>374</v>
      </c>
      <c r="L427" s="117" t="s">
        <v>374</v>
      </c>
      <c r="M427" s="117" t="s">
        <v>374</v>
      </c>
      <c r="N427" s="118" t="s">
        <v>374</v>
      </c>
      <c r="O427" s="65" t="s">
        <v>374</v>
      </c>
      <c r="P427" s="65" t="s">
        <v>374</v>
      </c>
    </row>
    <row r="428" spans="1:16" ht="15.75" customHeight="1">
      <c r="A428" s="120" t="s">
        <v>473</v>
      </c>
      <c r="B428" s="26">
        <f t="shared" si="19"/>
        <v>3714</v>
      </c>
      <c r="C428" s="117" t="s">
        <v>374</v>
      </c>
      <c r="D428" s="117" t="s">
        <v>374</v>
      </c>
      <c r="E428" s="117" t="s">
        <v>374</v>
      </c>
      <c r="F428" s="117" t="s">
        <v>374</v>
      </c>
      <c r="G428" s="117" t="s">
        <v>374</v>
      </c>
      <c r="H428" s="117" t="s">
        <v>374</v>
      </c>
      <c r="I428" s="24">
        <f>'c-18'!F32</f>
        <v>3714</v>
      </c>
      <c r="J428" s="117" t="s">
        <v>374</v>
      </c>
      <c r="K428" s="117" t="s">
        <v>374</v>
      </c>
      <c r="L428" s="117" t="s">
        <v>374</v>
      </c>
      <c r="M428" s="117" t="s">
        <v>374</v>
      </c>
      <c r="N428" s="118" t="s">
        <v>374</v>
      </c>
      <c r="O428" s="65" t="s">
        <v>374</v>
      </c>
      <c r="P428" s="65" t="s">
        <v>374</v>
      </c>
    </row>
    <row r="429" spans="1:16" ht="15.75" customHeight="1">
      <c r="A429" s="120" t="s">
        <v>474</v>
      </c>
      <c r="B429" s="26">
        <f t="shared" si="19"/>
        <v>786</v>
      </c>
      <c r="C429" s="117" t="s">
        <v>374</v>
      </c>
      <c r="D429" s="117" t="s">
        <v>374</v>
      </c>
      <c r="E429" s="117" t="s">
        <v>374</v>
      </c>
      <c r="F429" s="117" t="s">
        <v>374</v>
      </c>
      <c r="G429" s="117" t="s">
        <v>374</v>
      </c>
      <c r="H429" s="117" t="s">
        <v>374</v>
      </c>
      <c r="I429" s="24">
        <f>'c-18'!F33</f>
        <v>786</v>
      </c>
      <c r="J429" s="117" t="s">
        <v>374</v>
      </c>
      <c r="K429" s="117" t="s">
        <v>374</v>
      </c>
      <c r="L429" s="117" t="s">
        <v>374</v>
      </c>
      <c r="M429" s="64" t="s">
        <v>374</v>
      </c>
      <c r="N429" s="118" t="s">
        <v>374</v>
      </c>
      <c r="O429" s="65" t="s">
        <v>374</v>
      </c>
      <c r="P429" s="65" t="s">
        <v>374</v>
      </c>
    </row>
    <row r="430" spans="1:16" ht="15.75" customHeight="1">
      <c r="A430" s="131" t="s">
        <v>475</v>
      </c>
      <c r="B430" s="26">
        <f t="shared" si="19"/>
        <v>3150</v>
      </c>
      <c r="C430" s="117" t="s">
        <v>374</v>
      </c>
      <c r="D430" s="117" t="s">
        <v>374</v>
      </c>
      <c r="E430" s="117" t="s">
        <v>374</v>
      </c>
      <c r="F430" s="117" t="s">
        <v>374</v>
      </c>
      <c r="G430" s="117" t="s">
        <v>374</v>
      </c>
      <c r="H430" s="117" t="s">
        <v>374</v>
      </c>
      <c r="I430" s="24" t="s">
        <v>374</v>
      </c>
      <c r="J430" s="117" t="s">
        <v>374</v>
      </c>
      <c r="K430" s="117" t="s">
        <v>374</v>
      </c>
      <c r="L430" s="117" t="s">
        <v>374</v>
      </c>
      <c r="M430" s="64">
        <f>'c-21'!F12</f>
        <v>3150</v>
      </c>
      <c r="N430" s="118" t="s">
        <v>374</v>
      </c>
      <c r="O430" s="65" t="s">
        <v>374</v>
      </c>
      <c r="P430" s="65" t="s">
        <v>374</v>
      </c>
    </row>
    <row r="431" spans="1:16" ht="15.75" customHeight="1">
      <c r="A431" s="131" t="s">
        <v>476</v>
      </c>
      <c r="B431" s="26">
        <f t="shared" si="19"/>
        <v>4707</v>
      </c>
      <c r="C431" s="117" t="s">
        <v>374</v>
      </c>
      <c r="D431" s="117" t="s">
        <v>374</v>
      </c>
      <c r="E431" s="117" t="s">
        <v>374</v>
      </c>
      <c r="F431" s="117" t="s">
        <v>374</v>
      </c>
      <c r="G431" s="117" t="s">
        <v>374</v>
      </c>
      <c r="H431" s="117" t="s">
        <v>374</v>
      </c>
      <c r="I431" s="24">
        <f>'c-18'!F86</f>
        <v>4364</v>
      </c>
      <c r="J431" s="117" t="s">
        <v>374</v>
      </c>
      <c r="K431" s="117" t="s">
        <v>374</v>
      </c>
      <c r="L431" s="117" t="s">
        <v>374</v>
      </c>
      <c r="M431" s="117">
        <f>'c-21'!F51</f>
        <v>343</v>
      </c>
      <c r="N431" s="118" t="s">
        <v>374</v>
      </c>
      <c r="O431" s="65" t="s">
        <v>374</v>
      </c>
      <c r="P431" s="65" t="s">
        <v>374</v>
      </c>
    </row>
    <row r="432" spans="1:16" ht="15.75" customHeight="1">
      <c r="A432" s="131" t="s">
        <v>652</v>
      </c>
      <c r="B432" s="26">
        <f t="shared" si="19"/>
        <v>553</v>
      </c>
      <c r="C432" s="117" t="s">
        <v>374</v>
      </c>
      <c r="D432" s="117" t="s">
        <v>374</v>
      </c>
      <c r="E432" s="117" t="s">
        <v>374</v>
      </c>
      <c r="F432" s="117" t="s">
        <v>374</v>
      </c>
      <c r="G432" s="117" t="s">
        <v>374</v>
      </c>
      <c r="H432" s="117" t="s">
        <v>374</v>
      </c>
      <c r="I432" s="24">
        <f>'c-18'!F87</f>
        <v>553</v>
      </c>
      <c r="J432" s="117" t="s">
        <v>374</v>
      </c>
      <c r="K432" s="117" t="s">
        <v>374</v>
      </c>
      <c r="L432" s="117" t="s">
        <v>374</v>
      </c>
      <c r="M432" s="117" t="s">
        <v>374</v>
      </c>
      <c r="N432" s="117" t="s">
        <v>374</v>
      </c>
      <c r="O432" s="117" t="s">
        <v>374</v>
      </c>
      <c r="P432" s="65" t="s">
        <v>374</v>
      </c>
    </row>
    <row r="433" spans="1:16" ht="15.75" customHeight="1">
      <c r="A433" s="131" t="s">
        <v>802</v>
      </c>
      <c r="B433" s="26">
        <f t="shared" si="19"/>
        <v>813</v>
      </c>
      <c r="C433" s="117" t="s">
        <v>374</v>
      </c>
      <c r="D433" s="117" t="s">
        <v>374</v>
      </c>
      <c r="E433" s="117" t="s">
        <v>374</v>
      </c>
      <c r="F433" s="117" t="s">
        <v>374</v>
      </c>
      <c r="G433" s="117" t="s">
        <v>374</v>
      </c>
      <c r="H433" s="117" t="s">
        <v>374</v>
      </c>
      <c r="I433" s="24">
        <f>'c-18'!F59</f>
        <v>813</v>
      </c>
      <c r="J433" s="117" t="s">
        <v>374</v>
      </c>
      <c r="K433" s="117" t="s">
        <v>374</v>
      </c>
      <c r="L433" s="117" t="s">
        <v>374</v>
      </c>
      <c r="M433" s="64" t="s">
        <v>374</v>
      </c>
      <c r="N433" s="118" t="s">
        <v>374</v>
      </c>
      <c r="O433" s="65" t="s">
        <v>374</v>
      </c>
      <c r="P433" s="65" t="s">
        <v>374</v>
      </c>
    </row>
    <row r="434" spans="1:16" ht="15.75" customHeight="1">
      <c r="A434" s="131" t="s">
        <v>653</v>
      </c>
      <c r="B434" s="26">
        <f t="shared" si="19"/>
        <v>13680</v>
      </c>
      <c r="C434" s="117" t="s">
        <v>374</v>
      </c>
      <c r="D434" s="117" t="s">
        <v>374</v>
      </c>
      <c r="E434" s="117"/>
      <c r="F434" s="117" t="s">
        <v>374</v>
      </c>
      <c r="G434" s="117" t="s">
        <v>374</v>
      </c>
      <c r="H434" s="117" t="s">
        <v>374</v>
      </c>
      <c r="I434" s="24">
        <f>'c-18'!F36</f>
        <v>13081</v>
      </c>
      <c r="J434" s="117" t="s">
        <v>374</v>
      </c>
      <c r="K434" s="117" t="s">
        <v>374</v>
      </c>
      <c r="L434" s="117" t="s">
        <v>374</v>
      </c>
      <c r="M434" s="117">
        <f>'c-21'!F16</f>
        <v>599</v>
      </c>
      <c r="N434" s="118" t="s">
        <v>374</v>
      </c>
      <c r="O434" s="65"/>
      <c r="P434" s="65"/>
    </row>
    <row r="435" spans="1:16" ht="15.75" customHeight="1">
      <c r="A435" s="120" t="s">
        <v>654</v>
      </c>
      <c r="B435" s="26">
        <f t="shared" si="19"/>
        <v>387</v>
      </c>
      <c r="C435" s="117" t="s">
        <v>374</v>
      </c>
      <c r="D435" s="117" t="s">
        <v>374</v>
      </c>
      <c r="E435" s="117" t="s">
        <v>374</v>
      </c>
      <c r="F435" s="117" t="s">
        <v>374</v>
      </c>
      <c r="G435" s="117" t="s">
        <v>374</v>
      </c>
      <c r="H435" s="117" t="s">
        <v>374</v>
      </c>
      <c r="I435" s="24">
        <f>'c-18'!F37</f>
        <v>387</v>
      </c>
      <c r="J435" s="117" t="s">
        <v>374</v>
      </c>
      <c r="K435" s="117" t="s">
        <v>374</v>
      </c>
      <c r="L435" s="117" t="s">
        <v>374</v>
      </c>
      <c r="M435" s="64" t="s">
        <v>374</v>
      </c>
      <c r="N435" s="118" t="s">
        <v>374</v>
      </c>
      <c r="O435" s="65" t="s">
        <v>374</v>
      </c>
      <c r="P435" s="65" t="s">
        <v>374</v>
      </c>
    </row>
    <row r="436" spans="1:16" ht="15.75" customHeight="1">
      <c r="A436" s="131" t="s">
        <v>655</v>
      </c>
      <c r="B436" s="26">
        <f t="shared" si="19"/>
        <v>1864</v>
      </c>
      <c r="C436" s="117" t="s">
        <v>374</v>
      </c>
      <c r="D436" s="117" t="s">
        <v>374</v>
      </c>
      <c r="E436" s="117" t="s">
        <v>374</v>
      </c>
      <c r="F436" s="117" t="s">
        <v>374</v>
      </c>
      <c r="G436" s="117" t="s">
        <v>374</v>
      </c>
      <c r="H436" s="117" t="s">
        <v>374</v>
      </c>
      <c r="I436" s="24">
        <f>'c-18'!F38</f>
        <v>1864</v>
      </c>
      <c r="J436" s="117" t="s">
        <v>374</v>
      </c>
      <c r="K436" s="117" t="s">
        <v>374</v>
      </c>
      <c r="L436" s="117" t="s">
        <v>374</v>
      </c>
      <c r="M436" s="117" t="s">
        <v>374</v>
      </c>
      <c r="N436" s="117" t="s">
        <v>374</v>
      </c>
      <c r="O436" s="117" t="s">
        <v>374</v>
      </c>
      <c r="P436" s="65" t="s">
        <v>374</v>
      </c>
    </row>
    <row r="437" spans="1:16" ht="15.75" customHeight="1">
      <c r="A437" s="120" t="s">
        <v>177</v>
      </c>
      <c r="B437" s="26">
        <f t="shared" si="19"/>
        <v>2951</v>
      </c>
      <c r="C437" s="117" t="s">
        <v>374</v>
      </c>
      <c r="D437" s="117" t="s">
        <v>374</v>
      </c>
      <c r="E437" s="117" t="s">
        <v>374</v>
      </c>
      <c r="F437" s="117" t="s">
        <v>374</v>
      </c>
      <c r="G437" s="117" t="s">
        <v>374</v>
      </c>
      <c r="H437" s="117" t="s">
        <v>374</v>
      </c>
      <c r="I437" s="24">
        <f>'c-18'!F51</f>
        <v>2769</v>
      </c>
      <c r="J437" s="117" t="s">
        <v>374</v>
      </c>
      <c r="K437" s="117" t="s">
        <v>374</v>
      </c>
      <c r="L437" s="117" t="s">
        <v>374</v>
      </c>
      <c r="M437" s="64">
        <f>'c-21'!F26</f>
        <v>182</v>
      </c>
      <c r="N437" s="118" t="s">
        <v>374</v>
      </c>
      <c r="O437" s="65" t="s">
        <v>374</v>
      </c>
      <c r="P437" s="65" t="s">
        <v>374</v>
      </c>
    </row>
    <row r="438" spans="1:16" ht="15.75" customHeight="1">
      <c r="A438" s="120" t="s">
        <v>497</v>
      </c>
      <c r="B438" s="26">
        <f t="shared" si="19"/>
        <v>3212</v>
      </c>
      <c r="C438" s="117" t="s">
        <v>374</v>
      </c>
      <c r="D438" s="117" t="s">
        <v>374</v>
      </c>
      <c r="E438" s="117" t="s">
        <v>374</v>
      </c>
      <c r="F438" s="117" t="s">
        <v>374</v>
      </c>
      <c r="G438" s="117" t="s">
        <v>374</v>
      </c>
      <c r="H438" s="117" t="s">
        <v>374</v>
      </c>
      <c r="I438" s="24">
        <f>'c-18'!F49</f>
        <v>3050</v>
      </c>
      <c r="J438" s="117" t="s">
        <v>374</v>
      </c>
      <c r="K438" s="117" t="s">
        <v>374</v>
      </c>
      <c r="L438" s="117" t="s">
        <v>374</v>
      </c>
      <c r="M438" s="117">
        <f>'c-21'!F25</f>
        <v>162</v>
      </c>
      <c r="N438" s="118" t="s">
        <v>374</v>
      </c>
      <c r="O438" s="65" t="s">
        <v>374</v>
      </c>
      <c r="P438" s="65" t="s">
        <v>374</v>
      </c>
    </row>
    <row r="439" spans="1:16" ht="15.75" customHeight="1">
      <c r="A439" s="120" t="s">
        <v>656</v>
      </c>
      <c r="B439" s="26">
        <f t="shared" si="19"/>
        <v>369</v>
      </c>
      <c r="C439" s="117" t="s">
        <v>374</v>
      </c>
      <c r="D439" s="117" t="s">
        <v>374</v>
      </c>
      <c r="E439" s="117" t="s">
        <v>374</v>
      </c>
      <c r="F439" s="117" t="s">
        <v>374</v>
      </c>
      <c r="G439" s="117" t="s">
        <v>374</v>
      </c>
      <c r="H439" s="117" t="s">
        <v>374</v>
      </c>
      <c r="I439" s="24">
        <f>'c-18'!F50</f>
        <v>369</v>
      </c>
      <c r="J439" s="117" t="s">
        <v>374</v>
      </c>
      <c r="K439" s="117" t="s">
        <v>374</v>
      </c>
      <c r="L439" s="117" t="s">
        <v>374</v>
      </c>
      <c r="M439" s="64" t="s">
        <v>374</v>
      </c>
      <c r="N439" s="118" t="s">
        <v>374</v>
      </c>
      <c r="O439" s="65" t="s">
        <v>374</v>
      </c>
      <c r="P439" s="65" t="s">
        <v>374</v>
      </c>
    </row>
    <row r="440" spans="1:16" ht="15.75" customHeight="1">
      <c r="A440" s="120" t="s">
        <v>657</v>
      </c>
      <c r="B440" s="26">
        <f t="shared" si="19"/>
        <v>5385</v>
      </c>
      <c r="C440" s="117" t="s">
        <v>374</v>
      </c>
      <c r="D440" s="117" t="s">
        <v>374</v>
      </c>
      <c r="E440" s="117" t="s">
        <v>374</v>
      </c>
      <c r="F440" s="117" t="s">
        <v>374</v>
      </c>
      <c r="G440" s="117" t="s">
        <v>374</v>
      </c>
      <c r="H440" s="117" t="s">
        <v>374</v>
      </c>
      <c r="I440" s="24">
        <f>'c-18'!F41</f>
        <v>4876</v>
      </c>
      <c r="J440" s="117" t="s">
        <v>374</v>
      </c>
      <c r="K440" s="117" t="s">
        <v>374</v>
      </c>
      <c r="L440" s="117" t="s">
        <v>374</v>
      </c>
      <c r="M440" s="117">
        <f>'c-21'!F19</f>
        <v>509</v>
      </c>
      <c r="N440" s="118" t="s">
        <v>374</v>
      </c>
      <c r="O440" s="65" t="s">
        <v>374</v>
      </c>
      <c r="P440" s="65" t="s">
        <v>374</v>
      </c>
    </row>
    <row r="441" spans="1:16" ht="15.75" customHeight="1">
      <c r="A441" s="120" t="s">
        <v>658</v>
      </c>
      <c r="B441" s="26">
        <f t="shared" si="19"/>
        <v>646</v>
      </c>
      <c r="C441" s="117" t="s">
        <v>374</v>
      </c>
      <c r="D441" s="117" t="s">
        <v>374</v>
      </c>
      <c r="E441" s="117" t="s">
        <v>374</v>
      </c>
      <c r="F441" s="117" t="s">
        <v>374</v>
      </c>
      <c r="G441" s="117" t="s">
        <v>374</v>
      </c>
      <c r="H441" s="117" t="s">
        <v>374</v>
      </c>
      <c r="I441" s="24">
        <f>'c-18'!F42</f>
        <v>646</v>
      </c>
      <c r="J441" s="117" t="s">
        <v>374</v>
      </c>
      <c r="K441" s="117" t="s">
        <v>374</v>
      </c>
      <c r="L441" s="117" t="s">
        <v>374</v>
      </c>
      <c r="M441" s="117" t="s">
        <v>374</v>
      </c>
      <c r="N441" s="118" t="s">
        <v>374</v>
      </c>
      <c r="O441" s="65"/>
      <c r="P441" s="65"/>
    </row>
    <row r="442" spans="1:16" ht="15.75" customHeight="1">
      <c r="A442" s="120" t="s">
        <v>659</v>
      </c>
      <c r="B442" s="26">
        <f t="shared" si="19"/>
        <v>1183</v>
      </c>
      <c r="C442" s="117" t="s">
        <v>374</v>
      </c>
      <c r="D442" s="117" t="s">
        <v>374</v>
      </c>
      <c r="E442" s="117" t="s">
        <v>374</v>
      </c>
      <c r="F442" s="117" t="s">
        <v>374</v>
      </c>
      <c r="G442" s="117" t="s">
        <v>374</v>
      </c>
      <c r="H442" s="117" t="s">
        <v>374</v>
      </c>
      <c r="I442" s="24">
        <f>'c-18'!F43</f>
        <v>1183</v>
      </c>
      <c r="J442" s="117" t="s">
        <v>374</v>
      </c>
      <c r="K442" s="117" t="s">
        <v>374</v>
      </c>
      <c r="L442" s="117" t="s">
        <v>374</v>
      </c>
      <c r="M442" s="117" t="s">
        <v>374</v>
      </c>
      <c r="N442" s="117" t="s">
        <v>374</v>
      </c>
      <c r="O442" s="117" t="s">
        <v>374</v>
      </c>
      <c r="P442" s="65" t="s">
        <v>374</v>
      </c>
    </row>
    <row r="443" spans="1:16" ht="15.75" customHeight="1">
      <c r="A443" s="120" t="s">
        <v>811</v>
      </c>
      <c r="B443" s="26">
        <f t="shared" si="19"/>
        <v>995</v>
      </c>
      <c r="C443" s="117" t="s">
        <v>374</v>
      </c>
      <c r="D443" s="117" t="s">
        <v>374</v>
      </c>
      <c r="E443" s="117" t="s">
        <v>374</v>
      </c>
      <c r="F443" s="117" t="s">
        <v>374</v>
      </c>
      <c r="G443" s="117" t="s">
        <v>374</v>
      </c>
      <c r="H443" s="117" t="s">
        <v>374</v>
      </c>
      <c r="I443" s="24">
        <f>'c-18'!F46</f>
        <v>995</v>
      </c>
      <c r="J443" s="117" t="s">
        <v>374</v>
      </c>
      <c r="K443" s="117" t="s">
        <v>374</v>
      </c>
      <c r="L443" s="117" t="s">
        <v>374</v>
      </c>
      <c r="M443" s="117" t="s">
        <v>374</v>
      </c>
      <c r="N443" s="118" t="s">
        <v>374</v>
      </c>
      <c r="O443" s="65" t="s">
        <v>374</v>
      </c>
      <c r="P443" s="65" t="s">
        <v>374</v>
      </c>
    </row>
    <row r="444" spans="1:16" ht="15.75" customHeight="1">
      <c r="A444" s="120" t="s">
        <v>109</v>
      </c>
      <c r="B444" s="26">
        <f t="shared" si="19"/>
        <v>1056</v>
      </c>
      <c r="C444" s="117" t="s">
        <v>374</v>
      </c>
      <c r="D444" s="117" t="s">
        <v>374</v>
      </c>
      <c r="E444" s="117" t="s">
        <v>374</v>
      </c>
      <c r="F444" s="117" t="s">
        <v>374</v>
      </c>
      <c r="G444" s="117" t="s">
        <v>374</v>
      </c>
      <c r="H444" s="117" t="s">
        <v>374</v>
      </c>
      <c r="I444" s="24">
        <f>'c-18'!F44</f>
        <v>1056</v>
      </c>
      <c r="J444" s="117" t="s">
        <v>374</v>
      </c>
      <c r="K444" s="117" t="s">
        <v>374</v>
      </c>
      <c r="L444" s="117" t="s">
        <v>374</v>
      </c>
      <c r="M444" s="117" t="s">
        <v>374</v>
      </c>
      <c r="N444" s="118" t="s">
        <v>374</v>
      </c>
      <c r="O444" s="65" t="s">
        <v>374</v>
      </c>
      <c r="P444" s="65" t="s">
        <v>374</v>
      </c>
    </row>
    <row r="445" spans="1:16" ht="15.75" customHeight="1">
      <c r="A445" s="120" t="s">
        <v>660</v>
      </c>
      <c r="B445" s="26">
        <f t="shared" si="19"/>
        <v>627</v>
      </c>
      <c r="C445" s="117" t="s">
        <v>374</v>
      </c>
      <c r="D445" s="117" t="s">
        <v>374</v>
      </c>
      <c r="E445" s="117" t="s">
        <v>374</v>
      </c>
      <c r="F445" s="117" t="s">
        <v>374</v>
      </c>
      <c r="G445" s="117" t="s">
        <v>374</v>
      </c>
      <c r="H445" s="117" t="s">
        <v>374</v>
      </c>
      <c r="I445" s="24">
        <f>'c-18'!F45</f>
        <v>627</v>
      </c>
      <c r="J445" s="117" t="s">
        <v>374</v>
      </c>
      <c r="K445" s="117" t="s">
        <v>374</v>
      </c>
      <c r="L445" s="117" t="s">
        <v>374</v>
      </c>
      <c r="M445" s="64" t="s">
        <v>374</v>
      </c>
      <c r="N445" s="118" t="s">
        <v>374</v>
      </c>
      <c r="O445" s="65" t="s">
        <v>374</v>
      </c>
      <c r="P445" s="65" t="s">
        <v>374</v>
      </c>
    </row>
    <row r="446" spans="1:16" ht="15.75" customHeight="1">
      <c r="A446" s="120" t="s">
        <v>451</v>
      </c>
      <c r="B446" s="26">
        <f t="shared" si="19"/>
        <v>8859</v>
      </c>
      <c r="C446" s="117" t="s">
        <v>374</v>
      </c>
      <c r="D446" s="117" t="s">
        <v>374</v>
      </c>
      <c r="E446" s="117" t="s">
        <v>374</v>
      </c>
      <c r="F446" s="117" t="s">
        <v>374</v>
      </c>
      <c r="G446" s="117" t="s">
        <v>374</v>
      </c>
      <c r="H446" s="117" t="s">
        <v>374</v>
      </c>
      <c r="I446" s="24">
        <f>'c-18'!F54</f>
        <v>8075</v>
      </c>
      <c r="J446" s="64" t="s">
        <v>374</v>
      </c>
      <c r="K446" s="117" t="s">
        <v>374</v>
      </c>
      <c r="L446" s="117" t="s">
        <v>374</v>
      </c>
      <c r="M446" s="117">
        <f>'c-21'!F29</f>
        <v>784</v>
      </c>
      <c r="N446" s="118" t="s">
        <v>374</v>
      </c>
      <c r="O446" s="65"/>
      <c r="P446" s="65"/>
    </row>
    <row r="447" spans="1:16" ht="15.75" customHeight="1">
      <c r="A447" s="120" t="s">
        <v>661</v>
      </c>
      <c r="B447" s="26">
        <f t="shared" si="19"/>
        <v>243</v>
      </c>
      <c r="C447" s="117" t="s">
        <v>374</v>
      </c>
      <c r="D447" s="117" t="s">
        <v>374</v>
      </c>
      <c r="E447" s="117" t="s">
        <v>374</v>
      </c>
      <c r="F447" s="117" t="s">
        <v>374</v>
      </c>
      <c r="G447" s="117" t="s">
        <v>374</v>
      </c>
      <c r="H447" s="117" t="s">
        <v>374</v>
      </c>
      <c r="I447" s="24">
        <f>'c-18'!F55</f>
        <v>243</v>
      </c>
      <c r="J447" s="64" t="s">
        <v>374</v>
      </c>
      <c r="K447" s="117" t="s">
        <v>374</v>
      </c>
      <c r="L447" s="117" t="s">
        <v>374</v>
      </c>
      <c r="M447" s="117" t="s">
        <v>374</v>
      </c>
      <c r="N447" s="118" t="s">
        <v>374</v>
      </c>
      <c r="O447" s="65" t="s">
        <v>374</v>
      </c>
      <c r="P447" s="65" t="s">
        <v>374</v>
      </c>
    </row>
    <row r="448" spans="1:16" ht="15.75" customHeight="1">
      <c r="A448" s="120" t="s">
        <v>112</v>
      </c>
      <c r="B448" s="26">
        <f t="shared" si="19"/>
        <v>2535</v>
      </c>
      <c r="C448" s="117" t="s">
        <v>374</v>
      </c>
      <c r="D448" s="117" t="s">
        <v>374</v>
      </c>
      <c r="E448" s="117" t="s">
        <v>374</v>
      </c>
      <c r="F448" s="117" t="s">
        <v>374</v>
      </c>
      <c r="G448" s="117" t="s">
        <v>374</v>
      </c>
      <c r="H448" s="117" t="s">
        <v>374</v>
      </c>
      <c r="I448" s="24">
        <f>'c-18'!F56</f>
        <v>2535</v>
      </c>
      <c r="J448" s="64" t="s">
        <v>374</v>
      </c>
      <c r="K448" s="117" t="s">
        <v>374</v>
      </c>
      <c r="L448" s="117" t="s">
        <v>374</v>
      </c>
      <c r="M448" s="64" t="s">
        <v>374</v>
      </c>
      <c r="N448" s="118" t="s">
        <v>374</v>
      </c>
      <c r="O448" s="65" t="s">
        <v>374</v>
      </c>
      <c r="P448" s="65" t="s">
        <v>374</v>
      </c>
    </row>
    <row r="449" spans="1:16" ht="15.75" customHeight="1">
      <c r="A449" s="120" t="s">
        <v>1015</v>
      </c>
      <c r="B449" s="26">
        <f t="shared" si="19"/>
        <v>379</v>
      </c>
      <c r="C449" s="117" t="s">
        <v>374</v>
      </c>
      <c r="D449" s="117" t="s">
        <v>374</v>
      </c>
      <c r="E449" s="117" t="s">
        <v>374</v>
      </c>
      <c r="F449" s="117" t="s">
        <v>374</v>
      </c>
      <c r="G449" s="117" t="s">
        <v>374</v>
      </c>
      <c r="H449" s="117" t="s">
        <v>374</v>
      </c>
      <c r="I449" s="24">
        <f>'c-18'!F57</f>
        <v>379</v>
      </c>
      <c r="J449" s="64" t="s">
        <v>374</v>
      </c>
      <c r="K449" s="117" t="s">
        <v>374</v>
      </c>
      <c r="L449" s="117" t="s">
        <v>374</v>
      </c>
      <c r="M449" s="64" t="s">
        <v>374</v>
      </c>
      <c r="N449" s="118" t="s">
        <v>374</v>
      </c>
      <c r="O449" s="65" t="s">
        <v>374</v>
      </c>
      <c r="P449" s="65" t="s">
        <v>374</v>
      </c>
    </row>
    <row r="450" spans="1:16" ht="15.75" customHeight="1">
      <c r="A450" s="120" t="s">
        <v>181</v>
      </c>
      <c r="B450" s="26">
        <f t="shared" si="19"/>
        <v>4487</v>
      </c>
      <c r="C450" s="117" t="s">
        <v>374</v>
      </c>
      <c r="D450" s="117" t="s">
        <v>374</v>
      </c>
      <c r="E450" s="117" t="s">
        <v>374</v>
      </c>
      <c r="F450" s="117" t="s">
        <v>374</v>
      </c>
      <c r="G450" s="117" t="s">
        <v>374</v>
      </c>
      <c r="H450" s="117" t="s">
        <v>374</v>
      </c>
      <c r="I450" s="24">
        <f>'c-18'!F58</f>
        <v>4287</v>
      </c>
      <c r="J450" s="64" t="s">
        <v>374</v>
      </c>
      <c r="K450" s="117" t="s">
        <v>374</v>
      </c>
      <c r="L450" s="117" t="s">
        <v>374</v>
      </c>
      <c r="M450" s="64">
        <f>'c-21'!F30</f>
        <v>200</v>
      </c>
      <c r="N450" s="118" t="s">
        <v>374</v>
      </c>
      <c r="O450" s="65" t="s">
        <v>374</v>
      </c>
      <c r="P450" s="65" t="s">
        <v>374</v>
      </c>
    </row>
    <row r="451" spans="1:16" ht="15.75" customHeight="1">
      <c r="A451" s="120" t="s">
        <v>426</v>
      </c>
      <c r="B451" s="26">
        <f t="shared" si="19"/>
        <v>11584</v>
      </c>
      <c r="C451" s="117" t="s">
        <v>374</v>
      </c>
      <c r="D451" s="117" t="s">
        <v>374</v>
      </c>
      <c r="E451" s="117" t="s">
        <v>374</v>
      </c>
      <c r="F451" s="117" t="s">
        <v>374</v>
      </c>
      <c r="G451" s="117" t="s">
        <v>374</v>
      </c>
      <c r="H451" s="117" t="s">
        <v>374</v>
      </c>
      <c r="I451" s="24">
        <f>'c-18'!F62</f>
        <v>11014</v>
      </c>
      <c r="J451" s="117" t="s">
        <v>374</v>
      </c>
      <c r="K451" s="117" t="s">
        <v>374</v>
      </c>
      <c r="L451" s="117" t="s">
        <v>374</v>
      </c>
      <c r="M451" s="117">
        <f>'c-21'!F33</f>
        <v>570</v>
      </c>
      <c r="N451" s="118" t="s">
        <v>374</v>
      </c>
      <c r="O451" s="65"/>
      <c r="P451" s="65"/>
    </row>
    <row r="452" spans="1:16" ht="15.75" customHeight="1">
      <c r="A452" s="120" t="s">
        <v>662</v>
      </c>
      <c r="B452" s="26">
        <f t="shared" si="19"/>
        <v>638</v>
      </c>
      <c r="C452" s="117" t="s">
        <v>374</v>
      </c>
      <c r="D452" s="117" t="s">
        <v>374</v>
      </c>
      <c r="E452" s="117" t="s">
        <v>374</v>
      </c>
      <c r="F452" s="117" t="s">
        <v>374</v>
      </c>
      <c r="G452" s="117" t="s">
        <v>374</v>
      </c>
      <c r="H452" s="117" t="s">
        <v>374</v>
      </c>
      <c r="I452" s="24">
        <f>'c-18'!F63</f>
        <v>638</v>
      </c>
      <c r="J452" s="117" t="s">
        <v>374</v>
      </c>
      <c r="K452" s="117" t="s">
        <v>374</v>
      </c>
      <c r="L452" s="117" t="s">
        <v>374</v>
      </c>
      <c r="M452" s="117" t="s">
        <v>374</v>
      </c>
      <c r="N452" s="118" t="s">
        <v>374</v>
      </c>
      <c r="O452" s="65" t="s">
        <v>374</v>
      </c>
      <c r="P452" s="65" t="s">
        <v>374</v>
      </c>
    </row>
    <row r="453" spans="1:16" ht="15.75" customHeight="1">
      <c r="A453" s="120" t="s">
        <v>663</v>
      </c>
      <c r="B453" s="26">
        <f t="shared" si="19"/>
        <v>2231</v>
      </c>
      <c r="C453" s="117" t="s">
        <v>374</v>
      </c>
      <c r="D453" s="117" t="s">
        <v>374</v>
      </c>
      <c r="E453" s="117" t="s">
        <v>374</v>
      </c>
      <c r="F453" s="117" t="s">
        <v>374</v>
      </c>
      <c r="G453" s="117" t="s">
        <v>374</v>
      </c>
      <c r="H453" s="117" t="s">
        <v>374</v>
      </c>
      <c r="I453" s="24">
        <f>'c-18'!F64</f>
        <v>2231</v>
      </c>
      <c r="J453" s="117" t="s">
        <v>374</v>
      </c>
      <c r="K453" s="117" t="s">
        <v>374</v>
      </c>
      <c r="L453" s="117" t="s">
        <v>374</v>
      </c>
      <c r="M453" s="117" t="s">
        <v>374</v>
      </c>
      <c r="N453" s="118" t="s">
        <v>374</v>
      </c>
      <c r="O453" s="65" t="s">
        <v>374</v>
      </c>
      <c r="P453" s="65" t="s">
        <v>374</v>
      </c>
    </row>
    <row r="454" spans="1:16" ht="15.75" customHeight="1">
      <c r="A454" s="120" t="s">
        <v>624</v>
      </c>
      <c r="B454" s="26">
        <f t="shared" si="19"/>
        <v>2401</v>
      </c>
      <c r="C454" s="117" t="s">
        <v>374</v>
      </c>
      <c r="D454" s="117" t="s">
        <v>374</v>
      </c>
      <c r="E454" s="117" t="s">
        <v>374</v>
      </c>
      <c r="F454" s="117" t="s">
        <v>374</v>
      </c>
      <c r="G454" s="117" t="s">
        <v>374</v>
      </c>
      <c r="H454" s="117" t="s">
        <v>374</v>
      </c>
      <c r="I454" s="24">
        <f>'c-18'!F65</f>
        <v>2401</v>
      </c>
      <c r="J454" s="117" t="s">
        <v>374</v>
      </c>
      <c r="K454" s="117" t="s">
        <v>374</v>
      </c>
      <c r="L454" s="117" t="s">
        <v>374</v>
      </c>
      <c r="M454" s="64" t="s">
        <v>374</v>
      </c>
      <c r="N454" s="118" t="s">
        <v>374</v>
      </c>
      <c r="O454" s="65" t="s">
        <v>374</v>
      </c>
      <c r="P454" s="65" t="s">
        <v>374</v>
      </c>
    </row>
    <row r="455" spans="1:16" ht="15.75" customHeight="1">
      <c r="A455" s="120" t="s">
        <v>185</v>
      </c>
      <c r="B455" s="26">
        <f t="shared" si="19"/>
        <v>5600</v>
      </c>
      <c r="C455" s="117" t="s">
        <v>374</v>
      </c>
      <c r="D455" s="117" t="s">
        <v>374</v>
      </c>
      <c r="E455" s="117" t="s">
        <v>374</v>
      </c>
      <c r="F455" s="117" t="s">
        <v>374</v>
      </c>
      <c r="G455" s="117" t="s">
        <v>374</v>
      </c>
      <c r="H455" s="117" t="s">
        <v>374</v>
      </c>
      <c r="I455" s="24">
        <f>'c-18'!F69</f>
        <v>5294</v>
      </c>
      <c r="J455" s="117" t="s">
        <v>374</v>
      </c>
      <c r="K455" s="117" t="s">
        <v>374</v>
      </c>
      <c r="L455" s="117" t="s">
        <v>374</v>
      </c>
      <c r="M455" s="64">
        <f>'c-21'!F37</f>
        <v>306</v>
      </c>
      <c r="N455" s="118" t="s">
        <v>374</v>
      </c>
      <c r="O455" s="65" t="s">
        <v>374</v>
      </c>
      <c r="P455" s="65" t="s">
        <v>374</v>
      </c>
    </row>
    <row r="456" spans="1:16" ht="15.75" customHeight="1">
      <c r="A456" s="120" t="s">
        <v>664</v>
      </c>
      <c r="B456" s="26">
        <f t="shared" si="19"/>
        <v>470</v>
      </c>
      <c r="C456" s="117" t="s">
        <v>374</v>
      </c>
      <c r="D456" s="117" t="s">
        <v>374</v>
      </c>
      <c r="E456" s="117" t="s">
        <v>374</v>
      </c>
      <c r="F456" s="117" t="s">
        <v>374</v>
      </c>
      <c r="G456" s="117" t="s">
        <v>374</v>
      </c>
      <c r="H456" s="117" t="s">
        <v>374</v>
      </c>
      <c r="I456" s="24">
        <f>'c-18'!F70</f>
        <v>470</v>
      </c>
      <c r="J456" s="117" t="s">
        <v>374</v>
      </c>
      <c r="K456" s="117" t="s">
        <v>374</v>
      </c>
      <c r="L456" s="117" t="s">
        <v>374</v>
      </c>
      <c r="M456" s="64" t="s">
        <v>374</v>
      </c>
      <c r="N456" s="118" t="s">
        <v>374</v>
      </c>
      <c r="O456" s="65" t="s">
        <v>374</v>
      </c>
      <c r="P456" s="65" t="s">
        <v>374</v>
      </c>
    </row>
    <row r="457" spans="1:16" ht="15.75" customHeight="1">
      <c r="A457" s="120" t="s">
        <v>627</v>
      </c>
      <c r="B457" s="26">
        <f t="shared" si="19"/>
        <v>3294</v>
      </c>
      <c r="C457" s="117" t="s">
        <v>374</v>
      </c>
      <c r="D457" s="117" t="s">
        <v>374</v>
      </c>
      <c r="E457" s="117" t="s">
        <v>374</v>
      </c>
      <c r="F457" s="117" t="s">
        <v>374</v>
      </c>
      <c r="G457" s="117" t="s">
        <v>374</v>
      </c>
      <c r="H457" s="117" t="s">
        <v>374</v>
      </c>
      <c r="I457" s="24">
        <f>'c-18'!F71</f>
        <v>3103</v>
      </c>
      <c r="J457" s="117" t="s">
        <v>374</v>
      </c>
      <c r="K457" s="117" t="s">
        <v>374</v>
      </c>
      <c r="L457" s="117" t="s">
        <v>374</v>
      </c>
      <c r="M457" s="64">
        <f>'c-21'!F38</f>
        <v>191</v>
      </c>
      <c r="N457" s="118" t="s">
        <v>374</v>
      </c>
      <c r="O457" s="65" t="s">
        <v>374</v>
      </c>
      <c r="P457" s="65" t="s">
        <v>374</v>
      </c>
    </row>
    <row r="458" spans="1:16" ht="15.75" customHeight="1">
      <c r="A458" s="120" t="s">
        <v>665</v>
      </c>
      <c r="B458" s="26">
        <f t="shared" si="19"/>
        <v>4368</v>
      </c>
      <c r="C458" s="117" t="s">
        <v>374</v>
      </c>
      <c r="D458" s="117" t="s">
        <v>374</v>
      </c>
      <c r="E458" s="117" t="s">
        <v>374</v>
      </c>
      <c r="F458" s="117" t="s">
        <v>374</v>
      </c>
      <c r="G458" s="117" t="s">
        <v>374</v>
      </c>
      <c r="H458" s="117" t="s">
        <v>374</v>
      </c>
      <c r="I458" s="24">
        <f>'c-18'!F74</f>
        <v>4229</v>
      </c>
      <c r="J458" s="117" t="s">
        <v>374</v>
      </c>
      <c r="K458" s="117" t="s">
        <v>374</v>
      </c>
      <c r="L458" s="117" t="s">
        <v>374</v>
      </c>
      <c r="M458" s="64">
        <f>'c-21'!F41</f>
        <v>139</v>
      </c>
      <c r="N458" s="118" t="s">
        <v>374</v>
      </c>
      <c r="O458" s="65" t="s">
        <v>374</v>
      </c>
      <c r="P458" s="65" t="s">
        <v>374</v>
      </c>
    </row>
    <row r="459" spans="1:16" ht="15.75" customHeight="1">
      <c r="A459" s="120" t="s">
        <v>500</v>
      </c>
      <c r="B459" s="26">
        <f t="shared" si="19"/>
        <v>4362</v>
      </c>
      <c r="C459" s="117" t="s">
        <v>374</v>
      </c>
      <c r="D459" s="117" t="s">
        <v>374</v>
      </c>
      <c r="E459" s="117" t="s">
        <v>374</v>
      </c>
      <c r="F459" s="117" t="s">
        <v>374</v>
      </c>
      <c r="G459" s="117" t="s">
        <v>374</v>
      </c>
      <c r="H459" s="117" t="s">
        <v>374</v>
      </c>
      <c r="I459" s="24">
        <f>'c-18'!F75</f>
        <v>4190</v>
      </c>
      <c r="J459" s="117" t="s">
        <v>374</v>
      </c>
      <c r="K459" s="117" t="s">
        <v>374</v>
      </c>
      <c r="L459" s="117" t="s">
        <v>374</v>
      </c>
      <c r="M459" s="64">
        <f>'c-21'!F42</f>
        <v>172</v>
      </c>
      <c r="N459" s="118" t="s">
        <v>374</v>
      </c>
      <c r="O459" s="65" t="s">
        <v>374</v>
      </c>
      <c r="P459" s="65" t="s">
        <v>374</v>
      </c>
    </row>
    <row r="460" spans="1:16" ht="15.75" customHeight="1">
      <c r="A460" s="120" t="s">
        <v>666</v>
      </c>
      <c r="B460" s="26">
        <f t="shared" si="19"/>
        <v>664</v>
      </c>
      <c r="C460" s="117" t="s">
        <v>374</v>
      </c>
      <c r="D460" s="117" t="s">
        <v>374</v>
      </c>
      <c r="E460" s="117" t="s">
        <v>374</v>
      </c>
      <c r="F460" s="117" t="s">
        <v>374</v>
      </c>
      <c r="G460" s="117" t="s">
        <v>374</v>
      </c>
      <c r="H460" s="117" t="s">
        <v>374</v>
      </c>
      <c r="I460" s="24">
        <f>'c-18'!F76</f>
        <v>664</v>
      </c>
      <c r="J460" s="117" t="s">
        <v>374</v>
      </c>
      <c r="K460" s="117" t="s">
        <v>374</v>
      </c>
      <c r="L460" s="117" t="s">
        <v>374</v>
      </c>
      <c r="M460" s="117" t="s">
        <v>374</v>
      </c>
      <c r="N460" s="118" t="s">
        <v>374</v>
      </c>
      <c r="O460" s="65" t="s">
        <v>374</v>
      </c>
      <c r="P460" s="65" t="s">
        <v>374</v>
      </c>
    </row>
    <row r="461" spans="1:16" ht="15.75" customHeight="1">
      <c r="A461" s="120" t="s">
        <v>776</v>
      </c>
      <c r="B461" s="26">
        <f t="shared" si="19"/>
        <v>5766</v>
      </c>
      <c r="C461" s="117" t="s">
        <v>374</v>
      </c>
      <c r="D461" s="117" t="s">
        <v>374</v>
      </c>
      <c r="E461" s="117" t="s">
        <v>374</v>
      </c>
      <c r="F461" s="117" t="s">
        <v>374</v>
      </c>
      <c r="G461" s="117" t="s">
        <v>374</v>
      </c>
      <c r="H461" s="117" t="s">
        <v>374</v>
      </c>
      <c r="I461" s="24">
        <f>'c-18'!F79</f>
        <v>5397</v>
      </c>
      <c r="J461" s="117" t="s">
        <v>374</v>
      </c>
      <c r="K461" s="117" t="s">
        <v>374</v>
      </c>
      <c r="L461" s="117" t="s">
        <v>374</v>
      </c>
      <c r="M461" s="117">
        <f>'c-21'!F45</f>
        <v>369</v>
      </c>
      <c r="N461" s="118" t="s">
        <v>374</v>
      </c>
      <c r="O461" s="65" t="s">
        <v>374</v>
      </c>
      <c r="P461" s="65" t="s">
        <v>374</v>
      </c>
    </row>
    <row r="462" spans="1:16" ht="15.75" customHeight="1">
      <c r="A462" s="120" t="s">
        <v>667</v>
      </c>
      <c r="B462" s="26">
        <f t="shared" si="19"/>
        <v>523</v>
      </c>
      <c r="C462" s="117" t="s">
        <v>374</v>
      </c>
      <c r="D462" s="117" t="s">
        <v>374</v>
      </c>
      <c r="E462" s="117" t="s">
        <v>374</v>
      </c>
      <c r="F462" s="117" t="s">
        <v>374</v>
      </c>
      <c r="G462" s="117" t="s">
        <v>374</v>
      </c>
      <c r="H462" s="117" t="s">
        <v>374</v>
      </c>
      <c r="I462" s="24">
        <f>'c-18'!F80</f>
        <v>523</v>
      </c>
      <c r="J462" s="117" t="s">
        <v>374</v>
      </c>
      <c r="K462" s="117" t="s">
        <v>374</v>
      </c>
      <c r="L462" s="117" t="s">
        <v>374</v>
      </c>
      <c r="M462" s="64" t="s">
        <v>374</v>
      </c>
      <c r="N462" s="118" t="s">
        <v>374</v>
      </c>
      <c r="O462" s="65" t="s">
        <v>374</v>
      </c>
      <c r="P462" s="65" t="s">
        <v>374</v>
      </c>
    </row>
    <row r="463" spans="1:16" ht="15.75" customHeight="1">
      <c r="A463" s="120" t="s">
        <v>668</v>
      </c>
      <c r="B463" s="26">
        <f t="shared" si="19"/>
        <v>2066</v>
      </c>
      <c r="C463" s="117" t="s">
        <v>374</v>
      </c>
      <c r="D463" s="117" t="s">
        <v>374</v>
      </c>
      <c r="E463" s="117" t="s">
        <v>374</v>
      </c>
      <c r="F463" s="117" t="s">
        <v>374</v>
      </c>
      <c r="G463" s="117" t="s">
        <v>374</v>
      </c>
      <c r="H463" s="117" t="s">
        <v>374</v>
      </c>
      <c r="I463" s="24">
        <f>'c-18'!F82</f>
        <v>2066</v>
      </c>
      <c r="J463" s="117" t="s">
        <v>374</v>
      </c>
      <c r="K463" s="117" t="s">
        <v>374</v>
      </c>
      <c r="L463" s="117" t="s">
        <v>374</v>
      </c>
      <c r="M463" s="64" t="s">
        <v>374</v>
      </c>
      <c r="N463" s="118" t="s">
        <v>374</v>
      </c>
      <c r="O463" s="65" t="s">
        <v>374</v>
      </c>
      <c r="P463" s="65" t="s">
        <v>374</v>
      </c>
    </row>
    <row r="464" spans="1:16" ht="15.75" customHeight="1">
      <c r="A464" s="120" t="s">
        <v>637</v>
      </c>
      <c r="B464" s="26">
        <f t="shared" si="19"/>
        <v>851</v>
      </c>
      <c r="C464" s="117" t="s">
        <v>374</v>
      </c>
      <c r="D464" s="117" t="s">
        <v>374</v>
      </c>
      <c r="E464" s="117" t="s">
        <v>374</v>
      </c>
      <c r="F464" s="117" t="s">
        <v>374</v>
      </c>
      <c r="G464" s="117" t="s">
        <v>374</v>
      </c>
      <c r="H464" s="117" t="s">
        <v>374</v>
      </c>
      <c r="I464" s="24">
        <f>'c-18'!F81</f>
        <v>851</v>
      </c>
      <c r="J464" s="117" t="s">
        <v>374</v>
      </c>
      <c r="K464" s="117" t="s">
        <v>374</v>
      </c>
      <c r="L464" s="117" t="s">
        <v>374</v>
      </c>
      <c r="M464" s="64" t="s">
        <v>374</v>
      </c>
      <c r="N464" s="118" t="s">
        <v>374</v>
      </c>
      <c r="O464" s="65" t="s">
        <v>374</v>
      </c>
      <c r="P464" s="65" t="s">
        <v>374</v>
      </c>
    </row>
    <row r="465" spans="1:16" ht="15.75" customHeight="1">
      <c r="A465" s="120" t="s">
        <v>669</v>
      </c>
      <c r="B465" s="26">
        <f t="shared" si="19"/>
        <v>2857</v>
      </c>
      <c r="C465" s="117" t="s">
        <v>374</v>
      </c>
      <c r="D465" s="117" t="s">
        <v>374</v>
      </c>
      <c r="E465" s="117" t="s">
        <v>374</v>
      </c>
      <c r="F465" s="117" t="s">
        <v>374</v>
      </c>
      <c r="G465" s="117" t="s">
        <v>374</v>
      </c>
      <c r="H465" s="117" t="s">
        <v>374</v>
      </c>
      <c r="I465" s="24">
        <f>'c-18'!F83</f>
        <v>2755</v>
      </c>
      <c r="J465" s="117" t="s">
        <v>374</v>
      </c>
      <c r="K465" s="117" t="s">
        <v>374</v>
      </c>
      <c r="L465" s="117" t="s">
        <v>374</v>
      </c>
      <c r="M465" s="64">
        <f>'c-21'!F46</f>
        <v>102</v>
      </c>
      <c r="N465" s="118" t="s">
        <v>374</v>
      </c>
      <c r="O465" s="65" t="s">
        <v>374</v>
      </c>
      <c r="P465" s="65" t="s">
        <v>374</v>
      </c>
    </row>
    <row r="466" spans="1:16" ht="15.75" customHeight="1">
      <c r="A466" s="120" t="s">
        <v>640</v>
      </c>
      <c r="B466" s="26">
        <f t="shared" si="19"/>
        <v>2144</v>
      </c>
      <c r="C466" s="117" t="s">
        <v>374</v>
      </c>
      <c r="D466" s="117" t="s">
        <v>374</v>
      </c>
      <c r="E466" s="117" t="s">
        <v>374</v>
      </c>
      <c r="F466" s="117" t="s">
        <v>374</v>
      </c>
      <c r="G466" s="117" t="s">
        <v>374</v>
      </c>
      <c r="H466" s="117" t="s">
        <v>374</v>
      </c>
      <c r="I466" s="24">
        <f>'c-18'!F93</f>
        <v>2065</v>
      </c>
      <c r="J466" s="117" t="s">
        <v>374</v>
      </c>
      <c r="K466" s="117" t="s">
        <v>374</v>
      </c>
      <c r="L466" s="117" t="s">
        <v>374</v>
      </c>
      <c r="M466" s="64">
        <f>'c-21'!F56</f>
        <v>79</v>
      </c>
      <c r="N466" s="118" t="s">
        <v>374</v>
      </c>
      <c r="O466" s="65" t="s">
        <v>374</v>
      </c>
      <c r="P466" s="65" t="s">
        <v>374</v>
      </c>
    </row>
    <row r="467" spans="1:16" ht="15.75" customHeight="1">
      <c r="A467" s="120" t="s">
        <v>582</v>
      </c>
      <c r="B467" s="26">
        <f t="shared" si="19"/>
        <v>1835</v>
      </c>
      <c r="C467" s="117" t="s">
        <v>374</v>
      </c>
      <c r="D467" s="117" t="s">
        <v>374</v>
      </c>
      <c r="E467" s="117" t="s">
        <v>374</v>
      </c>
      <c r="F467" s="117" t="s">
        <v>374</v>
      </c>
      <c r="G467" s="117" t="s">
        <v>374</v>
      </c>
      <c r="H467" s="117" t="s">
        <v>374</v>
      </c>
      <c r="I467" s="24">
        <f>'c-18'!F94</f>
        <v>1779</v>
      </c>
      <c r="J467" s="117" t="s">
        <v>374</v>
      </c>
      <c r="K467" s="117" t="s">
        <v>374</v>
      </c>
      <c r="L467" s="117" t="s">
        <v>374</v>
      </c>
      <c r="M467" s="117">
        <f>'c-21'!F57</f>
        <v>56</v>
      </c>
      <c r="N467" s="118" t="s">
        <v>374</v>
      </c>
      <c r="O467" s="65" t="s">
        <v>374</v>
      </c>
      <c r="P467" s="65" t="s">
        <v>374</v>
      </c>
    </row>
    <row r="468" spans="1:16" ht="15.75" customHeight="1">
      <c r="A468" s="120" t="s">
        <v>670</v>
      </c>
      <c r="B468" s="26">
        <f t="shared" si="19"/>
        <v>83</v>
      </c>
      <c r="C468" s="117" t="s">
        <v>374</v>
      </c>
      <c r="D468" s="117" t="s">
        <v>374</v>
      </c>
      <c r="E468" s="117" t="s">
        <v>374</v>
      </c>
      <c r="F468" s="117" t="s">
        <v>374</v>
      </c>
      <c r="G468" s="117" t="s">
        <v>374</v>
      </c>
      <c r="H468" s="117" t="s">
        <v>374</v>
      </c>
      <c r="I468" s="24">
        <f>'c-18'!F95</f>
        <v>83</v>
      </c>
      <c r="J468" s="117" t="s">
        <v>374</v>
      </c>
      <c r="K468" s="117" t="s">
        <v>374</v>
      </c>
      <c r="L468" s="117" t="s">
        <v>374</v>
      </c>
      <c r="M468" s="117" t="s">
        <v>374</v>
      </c>
      <c r="N468" s="118" t="s">
        <v>374</v>
      </c>
      <c r="O468" s="65" t="s">
        <v>374</v>
      </c>
      <c r="P468" s="65" t="s">
        <v>374</v>
      </c>
    </row>
    <row r="469" spans="1:16" ht="15.75" customHeight="1">
      <c r="A469" s="120" t="s">
        <v>501</v>
      </c>
      <c r="B469" s="26">
        <f t="shared" si="19"/>
        <v>2010</v>
      </c>
      <c r="C469" s="117" t="s">
        <v>374</v>
      </c>
      <c r="D469" s="117" t="s">
        <v>374</v>
      </c>
      <c r="E469" s="117" t="s">
        <v>374</v>
      </c>
      <c r="F469" s="117" t="s">
        <v>374</v>
      </c>
      <c r="G469" s="117" t="s">
        <v>374</v>
      </c>
      <c r="H469" s="117" t="s">
        <v>374</v>
      </c>
      <c r="I469" s="24">
        <f>'c-18'!F91</f>
        <v>1849</v>
      </c>
      <c r="J469" s="117" t="s">
        <v>374</v>
      </c>
      <c r="K469" s="117" t="s">
        <v>374</v>
      </c>
      <c r="L469" s="117" t="s">
        <v>374</v>
      </c>
      <c r="M469" s="64">
        <f>'c-21'!F55</f>
        <v>161</v>
      </c>
      <c r="N469" s="118" t="s">
        <v>374</v>
      </c>
      <c r="O469" s="65" t="s">
        <v>374</v>
      </c>
      <c r="P469" s="65" t="s">
        <v>374</v>
      </c>
    </row>
    <row r="470" spans="1:16" ht="15.75" customHeight="1">
      <c r="A470" s="120" t="s">
        <v>671</v>
      </c>
      <c r="B470" s="26">
        <f t="shared" si="19"/>
        <v>225</v>
      </c>
      <c r="C470" s="117" t="s">
        <v>374</v>
      </c>
      <c r="D470" s="117" t="s">
        <v>374</v>
      </c>
      <c r="E470" s="117" t="s">
        <v>374</v>
      </c>
      <c r="F470" s="117" t="s">
        <v>374</v>
      </c>
      <c r="G470" s="117" t="s">
        <v>374</v>
      </c>
      <c r="H470" s="117" t="s">
        <v>374</v>
      </c>
      <c r="I470" s="24">
        <f>'c-18'!F92</f>
        <v>225</v>
      </c>
      <c r="J470" s="117" t="s">
        <v>374</v>
      </c>
      <c r="K470" s="117" t="s">
        <v>374</v>
      </c>
      <c r="L470" s="117" t="s">
        <v>374</v>
      </c>
      <c r="M470" s="64" t="s">
        <v>374</v>
      </c>
      <c r="N470" s="118" t="s">
        <v>374</v>
      </c>
      <c r="O470" s="65" t="s">
        <v>374</v>
      </c>
      <c r="P470" s="65" t="s">
        <v>374</v>
      </c>
    </row>
    <row r="471" spans="1:16" ht="15.75" customHeight="1">
      <c r="A471" s="120" t="s">
        <v>672</v>
      </c>
      <c r="B471" s="26">
        <f t="shared" si="19"/>
        <v>1233</v>
      </c>
      <c r="C471" s="117" t="s">
        <v>374</v>
      </c>
      <c r="D471" s="117" t="s">
        <v>374</v>
      </c>
      <c r="E471" s="117" t="s">
        <v>374</v>
      </c>
      <c r="F471" s="117" t="s">
        <v>374</v>
      </c>
      <c r="G471" s="117" t="s">
        <v>374</v>
      </c>
      <c r="H471" s="117" t="s">
        <v>374</v>
      </c>
      <c r="I471" s="24">
        <f>'c-18'!F97</f>
        <v>1233</v>
      </c>
      <c r="J471" s="117" t="s">
        <v>374</v>
      </c>
      <c r="K471" s="117" t="s">
        <v>374</v>
      </c>
      <c r="L471" s="64" t="s">
        <v>374</v>
      </c>
      <c r="M471" s="64" t="s">
        <v>374</v>
      </c>
      <c r="N471" s="118" t="s">
        <v>374</v>
      </c>
      <c r="O471" s="65" t="s">
        <v>374</v>
      </c>
      <c r="P471" s="65" t="s">
        <v>374</v>
      </c>
    </row>
    <row r="472" spans="1:16" ht="15.75" customHeight="1">
      <c r="A472" s="120" t="s">
        <v>673</v>
      </c>
      <c r="B472" s="26">
        <f t="shared" si="19"/>
        <v>1137</v>
      </c>
      <c r="C472" s="117" t="s">
        <v>374</v>
      </c>
      <c r="D472" s="117" t="s">
        <v>374</v>
      </c>
      <c r="E472" s="117" t="s">
        <v>374</v>
      </c>
      <c r="F472" s="117" t="s">
        <v>374</v>
      </c>
      <c r="G472" s="117" t="s">
        <v>374</v>
      </c>
      <c r="H472" s="117" t="s">
        <v>374</v>
      </c>
      <c r="I472" s="24">
        <f>'c-18'!F88</f>
        <v>1137</v>
      </c>
      <c r="J472" s="117" t="s">
        <v>374</v>
      </c>
      <c r="K472" s="117" t="s">
        <v>374</v>
      </c>
      <c r="L472" s="64" t="s">
        <v>374</v>
      </c>
      <c r="M472" s="64" t="s">
        <v>374</v>
      </c>
      <c r="N472" s="118" t="s">
        <v>374</v>
      </c>
      <c r="O472" s="65" t="s">
        <v>374</v>
      </c>
      <c r="P472" s="65" t="s">
        <v>374</v>
      </c>
    </row>
    <row r="473" spans="1:16" ht="15.75" customHeight="1">
      <c r="A473" s="120" t="s">
        <v>478</v>
      </c>
      <c r="B473" s="26">
        <f t="shared" si="19"/>
        <v>6682</v>
      </c>
      <c r="C473" s="118" t="s">
        <v>374</v>
      </c>
      <c r="D473" s="66" t="s">
        <v>374</v>
      </c>
      <c r="E473" s="64" t="s">
        <v>374</v>
      </c>
      <c r="F473" s="117" t="s">
        <v>374</v>
      </c>
      <c r="G473" s="117" t="s">
        <v>374</v>
      </c>
      <c r="H473" s="117" t="s">
        <v>374</v>
      </c>
      <c r="I473" s="24">
        <f>'c-18'!F100</f>
        <v>6199</v>
      </c>
      <c r="J473" s="117" t="s">
        <v>374</v>
      </c>
      <c r="K473" s="117" t="s">
        <v>374</v>
      </c>
      <c r="L473" s="64" t="s">
        <v>374</v>
      </c>
      <c r="M473" s="64">
        <f>'c-21'!F62</f>
        <v>483</v>
      </c>
      <c r="N473" s="118" t="s">
        <v>374</v>
      </c>
      <c r="O473" s="65" t="s">
        <v>374</v>
      </c>
      <c r="P473" s="65" t="s">
        <v>374</v>
      </c>
    </row>
    <row r="474" spans="1:16" ht="15.75" customHeight="1">
      <c r="A474" s="120" t="s">
        <v>674</v>
      </c>
      <c r="B474" s="26">
        <f t="shared" si="19"/>
        <v>335</v>
      </c>
      <c r="C474" s="117" t="s">
        <v>374</v>
      </c>
      <c r="D474" s="117" t="s">
        <v>374</v>
      </c>
      <c r="E474" s="117" t="s">
        <v>374</v>
      </c>
      <c r="F474" s="117" t="s">
        <v>374</v>
      </c>
      <c r="G474" s="117" t="s">
        <v>374</v>
      </c>
      <c r="H474" s="117" t="s">
        <v>374</v>
      </c>
      <c r="I474" s="24">
        <f>'c-18'!F101</f>
        <v>335</v>
      </c>
      <c r="J474" s="117" t="s">
        <v>374</v>
      </c>
      <c r="K474" s="117" t="s">
        <v>374</v>
      </c>
      <c r="L474" s="64" t="s">
        <v>374</v>
      </c>
      <c r="M474" s="64" t="s">
        <v>374</v>
      </c>
      <c r="N474" s="118" t="s">
        <v>374</v>
      </c>
      <c r="O474" s="65" t="s">
        <v>374</v>
      </c>
      <c r="P474" s="65" t="s">
        <v>374</v>
      </c>
    </row>
    <row r="475" spans="1:16" ht="15.75" customHeight="1">
      <c r="A475" s="120" t="s">
        <v>675</v>
      </c>
      <c r="B475" s="26">
        <f t="shared" si="19"/>
        <v>1830</v>
      </c>
      <c r="C475" s="118" t="s">
        <v>374</v>
      </c>
      <c r="D475" s="66" t="s">
        <v>374</v>
      </c>
      <c r="E475" s="64" t="s">
        <v>374</v>
      </c>
      <c r="F475" s="117" t="s">
        <v>374</v>
      </c>
      <c r="G475" s="117" t="s">
        <v>374</v>
      </c>
      <c r="H475" s="117" t="s">
        <v>374</v>
      </c>
      <c r="I475" s="24">
        <f>'c-18'!F102</f>
        <v>1830</v>
      </c>
      <c r="J475" s="117" t="s">
        <v>374</v>
      </c>
      <c r="K475" s="117" t="s">
        <v>374</v>
      </c>
      <c r="L475" s="64" t="s">
        <v>374</v>
      </c>
      <c r="M475" s="64" t="s">
        <v>374</v>
      </c>
      <c r="N475" s="118" t="s">
        <v>374</v>
      </c>
      <c r="O475" s="65" t="s">
        <v>374</v>
      </c>
      <c r="P475" s="65" t="s">
        <v>374</v>
      </c>
    </row>
    <row r="476" spans="1:16" ht="15.75" customHeight="1">
      <c r="A476" s="120" t="s">
        <v>479</v>
      </c>
      <c r="B476" s="26">
        <f t="shared" si="19"/>
        <v>6558</v>
      </c>
      <c r="C476" s="117" t="s">
        <v>374</v>
      </c>
      <c r="D476" s="117" t="s">
        <v>374</v>
      </c>
      <c r="E476" s="117" t="s">
        <v>374</v>
      </c>
      <c r="F476" s="117" t="s">
        <v>374</v>
      </c>
      <c r="G476" s="117" t="s">
        <v>374</v>
      </c>
      <c r="H476" s="117" t="s">
        <v>374</v>
      </c>
      <c r="I476" s="24">
        <f>'c-18'!F105</f>
        <v>6088</v>
      </c>
      <c r="J476" s="117" t="s">
        <v>374</v>
      </c>
      <c r="K476" s="117" t="s">
        <v>374</v>
      </c>
      <c r="L476" s="64" t="s">
        <v>374</v>
      </c>
      <c r="M476" s="64">
        <f>'c-21'!F65</f>
        <v>470</v>
      </c>
      <c r="N476" s="118" t="s">
        <v>374</v>
      </c>
      <c r="O476" s="65" t="s">
        <v>374</v>
      </c>
      <c r="P476" s="65" t="s">
        <v>374</v>
      </c>
    </row>
    <row r="477" spans="1:16" ht="15.75" customHeight="1">
      <c r="A477" s="120" t="s">
        <v>1078</v>
      </c>
      <c r="B477" s="26">
        <f t="shared" si="19"/>
        <v>645</v>
      </c>
      <c r="C477" s="118" t="s">
        <v>374</v>
      </c>
      <c r="D477" s="66" t="s">
        <v>374</v>
      </c>
      <c r="E477" s="64" t="s">
        <v>374</v>
      </c>
      <c r="F477" s="117" t="s">
        <v>374</v>
      </c>
      <c r="G477" s="117" t="s">
        <v>374</v>
      </c>
      <c r="H477" s="117" t="s">
        <v>374</v>
      </c>
      <c r="I477" s="24">
        <f>'c-18'!F106</f>
        <v>645</v>
      </c>
      <c r="J477" s="117" t="s">
        <v>374</v>
      </c>
      <c r="K477" s="117" t="s">
        <v>374</v>
      </c>
      <c r="L477" s="64" t="s">
        <v>374</v>
      </c>
      <c r="M477" s="64" t="s">
        <v>374</v>
      </c>
      <c r="N477" s="118" t="s">
        <v>374</v>
      </c>
      <c r="O477" s="65" t="s">
        <v>374</v>
      </c>
      <c r="P477" s="65" t="s">
        <v>374</v>
      </c>
    </row>
    <row r="478" spans="1:16" ht="15.75" customHeight="1">
      <c r="A478" s="120" t="s">
        <v>1077</v>
      </c>
      <c r="B478" s="26">
        <f t="shared" si="19"/>
        <v>2791</v>
      </c>
      <c r="C478" s="117" t="s">
        <v>374</v>
      </c>
      <c r="D478" s="117" t="s">
        <v>374</v>
      </c>
      <c r="E478" s="117" t="s">
        <v>374</v>
      </c>
      <c r="F478" s="117" t="s">
        <v>374</v>
      </c>
      <c r="G478" s="117" t="s">
        <v>374</v>
      </c>
      <c r="H478" s="117" t="s">
        <v>374</v>
      </c>
      <c r="I478" s="24">
        <f>'c-18'!F107</f>
        <v>2791</v>
      </c>
      <c r="J478" s="117" t="s">
        <v>374</v>
      </c>
      <c r="K478" s="117" t="s">
        <v>374</v>
      </c>
      <c r="L478" s="64" t="s">
        <v>374</v>
      </c>
      <c r="M478" s="64" t="s">
        <v>374</v>
      </c>
      <c r="N478" s="118" t="s">
        <v>374</v>
      </c>
      <c r="O478" s="65" t="s">
        <v>374</v>
      </c>
      <c r="P478" s="65" t="s">
        <v>374</v>
      </c>
    </row>
    <row r="479" spans="1:16" ht="15.75" customHeight="1">
      <c r="A479" s="120" t="s">
        <v>1076</v>
      </c>
      <c r="B479" s="26">
        <f t="shared" si="19"/>
        <v>442</v>
      </c>
      <c r="C479" s="117" t="s">
        <v>374</v>
      </c>
      <c r="D479" s="117" t="s">
        <v>374</v>
      </c>
      <c r="E479" s="117" t="s">
        <v>374</v>
      </c>
      <c r="F479" s="117" t="s">
        <v>374</v>
      </c>
      <c r="G479" s="117" t="s">
        <v>374</v>
      </c>
      <c r="H479" s="117" t="s">
        <v>374</v>
      </c>
      <c r="I479" s="117">
        <f>'c-18'!F96</f>
        <v>442</v>
      </c>
      <c r="J479" s="117" t="s">
        <v>374</v>
      </c>
      <c r="K479" s="117" t="s">
        <v>374</v>
      </c>
      <c r="L479" s="64" t="s">
        <v>374</v>
      </c>
      <c r="M479" s="64" t="s">
        <v>374</v>
      </c>
      <c r="N479" s="118" t="s">
        <v>374</v>
      </c>
      <c r="O479" s="65" t="s">
        <v>374</v>
      </c>
      <c r="P479" s="65" t="s">
        <v>374</v>
      </c>
    </row>
    <row r="480" spans="1:16" ht="15.75" customHeight="1">
      <c r="A480" s="116" t="s">
        <v>1075</v>
      </c>
      <c r="B480" s="26">
        <f t="shared" si="19"/>
        <v>10</v>
      </c>
      <c r="C480" s="117" t="s">
        <v>374</v>
      </c>
      <c r="D480" s="117" t="s">
        <v>374</v>
      </c>
      <c r="E480" s="117" t="s">
        <v>374</v>
      </c>
      <c r="F480" s="117" t="s">
        <v>374</v>
      </c>
      <c r="G480" s="117" t="s">
        <v>374</v>
      </c>
      <c r="H480" s="117" t="s">
        <v>374</v>
      </c>
      <c r="I480" s="117">
        <f>'c-18'!F66</f>
        <v>10</v>
      </c>
      <c r="J480" s="117" t="s">
        <v>374</v>
      </c>
      <c r="K480" s="117" t="s">
        <v>374</v>
      </c>
      <c r="L480" s="64" t="s">
        <v>374</v>
      </c>
      <c r="M480" s="64" t="s">
        <v>374</v>
      </c>
      <c r="N480" s="118" t="s">
        <v>374</v>
      </c>
      <c r="O480" s="65" t="s">
        <v>374</v>
      </c>
      <c r="P480" s="65" t="s">
        <v>374</v>
      </c>
    </row>
    <row r="481" spans="1:16" ht="15.75" customHeight="1">
      <c r="A481" s="143"/>
      <c r="B481" s="105"/>
      <c r="C481" s="105"/>
      <c r="D481" s="105"/>
      <c r="E481" s="105"/>
      <c r="F481" s="105"/>
      <c r="G481" s="105"/>
      <c r="H481" s="105"/>
      <c r="I481" s="105"/>
      <c r="J481" s="105"/>
      <c r="K481" s="105"/>
      <c r="L481" s="135"/>
      <c r="M481" s="135"/>
      <c r="N481" s="137"/>
      <c r="O481" s="84"/>
      <c r="P481" s="84"/>
    </row>
    <row r="482" spans="1:16" ht="15.75" customHeight="1">
      <c r="A482" s="148" t="s">
        <v>519</v>
      </c>
    </row>
    <row r="483" spans="1:16" ht="15.75" customHeight="1">
      <c r="A483" s="148" t="s">
        <v>520</v>
      </c>
    </row>
    <row r="484" spans="1:16" ht="15.75" customHeight="1">
      <c r="A484" s="39" t="s">
        <v>1072</v>
      </c>
    </row>
  </sheetData>
  <sheetProtection selectLockedCells="1" selectUnlockedCells="1"/>
  <mergeCells count="5">
    <mergeCell ref="C355:P355"/>
    <mergeCell ref="A3:P3"/>
    <mergeCell ref="C5:P5"/>
    <mergeCell ref="C137:P137"/>
    <mergeCell ref="C253:P253"/>
  </mergeCells>
  <phoneticPr fontId="0" type="noConversion"/>
  <printOptions horizontalCentered="1" verticalCentered="1"/>
  <pageMargins left="0" right="0" top="0" bottom="0" header="0.51180555555555551" footer="0.51180555555555551"/>
  <pageSetup scale="32" firstPageNumber="0" orientation="portrait" horizontalDpi="300" verticalDpi="300"/>
  <headerFooter alignWithMargins="0"/>
  <rowBreaks count="3" manualBreakCount="3">
    <brk id="131" max="16383" man="1"/>
    <brk id="249" max="16383" man="1"/>
    <brk id="3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40</vt:i4>
      </vt:variant>
    </vt:vector>
  </HeadingPairs>
  <TitlesOfParts>
    <vt:vector size="67" baseType="lpstr">
      <vt:lpstr>Hoja1</vt:lpstr>
      <vt:lpstr>c-1</vt:lpstr>
      <vt:lpstr>c-2</vt:lpstr>
      <vt:lpstr>c-3</vt:lpstr>
      <vt:lpstr>c-4</vt:lpstr>
      <vt:lpstr>c-5</vt:lpstr>
      <vt:lpstr>c-6</vt:lpstr>
      <vt:lpstr>c-7</vt:lpstr>
      <vt:lpstr>c-8</vt:lpstr>
      <vt:lpstr>c-9</vt:lpstr>
      <vt:lpstr>c-10</vt:lpstr>
      <vt:lpstr>c-11</vt:lpstr>
      <vt:lpstr>c-12</vt:lpstr>
      <vt:lpstr>c-13</vt:lpstr>
      <vt:lpstr>c-14</vt:lpstr>
      <vt:lpstr>c-15</vt:lpstr>
      <vt:lpstr>c-16</vt:lpstr>
      <vt:lpstr>c-17</vt:lpstr>
      <vt:lpstr>c-18</vt:lpstr>
      <vt:lpstr>c-19</vt:lpstr>
      <vt:lpstr>c-20</vt:lpstr>
      <vt:lpstr>c-21</vt:lpstr>
      <vt:lpstr>c-22</vt:lpstr>
      <vt:lpstr>c-23</vt:lpstr>
      <vt:lpstr>c-24</vt:lpstr>
      <vt:lpstr>c-25</vt:lpstr>
      <vt:lpstr>c-26</vt:lpstr>
      <vt:lpstr>'c-1'!Área_de_impresión</vt:lpstr>
      <vt:lpstr>'c-10'!Área_de_impresión</vt:lpstr>
      <vt:lpstr>'c-11'!Área_de_impresión</vt:lpstr>
      <vt:lpstr>'c-12'!Área_de_impresión</vt:lpstr>
      <vt:lpstr>'c-13'!Área_de_impresión</vt:lpstr>
      <vt:lpstr>'c-14'!Área_de_impresión</vt:lpstr>
      <vt:lpstr>'c-15'!Área_de_impresión</vt:lpstr>
      <vt:lpstr>'c-16'!Área_de_impresión</vt:lpstr>
      <vt:lpstr>'c-17'!Área_de_impresión</vt:lpstr>
      <vt:lpstr>'c-18'!Área_de_impresión</vt:lpstr>
      <vt:lpstr>'c-19'!Área_de_impresión</vt:lpstr>
      <vt:lpstr>'c-2'!Área_de_impresión</vt:lpstr>
      <vt:lpstr>'c-20'!Área_de_impresión</vt:lpstr>
      <vt:lpstr>'c-21'!Área_de_impresión</vt:lpstr>
      <vt:lpstr>'c-22'!Área_de_impresión</vt:lpstr>
      <vt:lpstr>'c-23'!Área_de_impresión</vt:lpstr>
      <vt:lpstr>'c-24'!Área_de_impresión</vt:lpstr>
      <vt:lpstr>'c-25'!Área_de_impresión</vt:lpstr>
      <vt:lpstr>'c-26'!Área_de_impresión</vt:lpstr>
      <vt:lpstr>'c-3'!Área_de_impresión</vt:lpstr>
      <vt:lpstr>'c-4'!Área_de_impresión</vt:lpstr>
      <vt:lpstr>'c-5'!Área_de_impresión</vt:lpstr>
      <vt:lpstr>'c-6'!Área_de_impresión</vt:lpstr>
      <vt:lpstr>'c-9'!Área_de_impresión</vt:lpstr>
      <vt:lpstr>'c-8'!Excel_BuiltIn__FilterDatabase</vt:lpstr>
      <vt:lpstr>'c-9'!Excel_BuiltIn__FilterDatabase</vt:lpstr>
      <vt:lpstr>'c-10'!Títulos_a_imprimir</vt:lpstr>
      <vt:lpstr>'c-11'!Títulos_a_imprimir</vt:lpstr>
      <vt:lpstr>'c-12'!Títulos_a_imprimir</vt:lpstr>
      <vt:lpstr>'c-13'!Títulos_a_imprimir</vt:lpstr>
      <vt:lpstr>'c-14'!Títulos_a_imprimir</vt:lpstr>
      <vt:lpstr>'c-15'!Títulos_a_imprimir</vt:lpstr>
      <vt:lpstr>'c-17'!Títulos_a_imprimir</vt:lpstr>
      <vt:lpstr>'c-18'!Títulos_a_imprimir</vt:lpstr>
      <vt:lpstr>'c-22'!Títulos_a_imprimir</vt:lpstr>
      <vt:lpstr>'c-23'!Títulos_a_imprimir</vt:lpstr>
      <vt:lpstr>'c-24'!Títulos_a_imprimir</vt:lpstr>
      <vt:lpstr>'c-12'!Z_DBFC5A21_4BEE_424C_BC05_B4A8E3102722__wvu_PrintTitles</vt:lpstr>
      <vt:lpstr>'c-13'!Z_DBFC5A21_4BEE_424C_BC05_B4A8E3102722__wvu_PrintTitles</vt:lpstr>
      <vt:lpstr>'c-14'!Z_DBFC5A21_4BEE_424C_BC05_B4A8E3102722__wvu_PrintTitles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Hernández Gutiérrez</dc:creator>
  <cp:lastModifiedBy>amenac</cp:lastModifiedBy>
  <cp:lastPrinted>2017-07-04T17:52:56Z</cp:lastPrinted>
  <dcterms:created xsi:type="dcterms:W3CDTF">2015-10-26T16:09:28Z</dcterms:created>
  <dcterms:modified xsi:type="dcterms:W3CDTF">2017-11-30T15:19:12Z</dcterms:modified>
</cp:coreProperties>
</file>